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pras 06 - CRISTIANE\Editais 2023\Tomada de Preços\TP 6 Liberato\"/>
    </mc:Choice>
  </mc:AlternateContent>
  <xr:revisionPtr revIDLastSave="0" documentId="8_{31DD70B5-4E1B-40AA-A67C-FAA74AA72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" sheetId="6" r:id="rId1"/>
    <sheet name="CPU" sheetId="5" r:id="rId2"/>
    <sheet name="Insumos_MAT" sheetId="2" r:id="rId3"/>
    <sheet name="Insumos_MO" sheetId="4" r:id="rId4"/>
    <sheet name="Cotações" sheetId="1" r:id="rId5"/>
    <sheet name="Cronograma" sheetId="7" r:id="rId6"/>
  </sheets>
  <definedNames>
    <definedName name="_xlnm._FilterDatabase" localSheetId="1" hidden="1">CPU!$B$7:$P$8</definedName>
    <definedName name="_xlnm.Print_Area" localSheetId="4">Cotações!$A$1:$G$26</definedName>
    <definedName name="_xlnm.Print_Area" localSheetId="1">CPU!$A$1:$P$62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6" l="1"/>
  <c r="H69" i="6" l="1"/>
  <c r="H68" i="6"/>
  <c r="H63" i="6"/>
  <c r="H34" i="6"/>
  <c r="H31" i="6"/>
  <c r="H30" i="6"/>
  <c r="H29" i="6"/>
  <c r="H28" i="6"/>
  <c r="H27" i="6"/>
  <c r="H23" i="6"/>
  <c r="H19" i="6"/>
  <c r="H23" i="7" l="1"/>
  <c r="O59" i="5"/>
  <c r="J10" i="7" l="1"/>
  <c r="J11" i="7"/>
  <c r="J12" i="7"/>
  <c r="J13" i="7"/>
  <c r="J14" i="7"/>
  <c r="J15" i="7"/>
  <c r="J16" i="7"/>
  <c r="J17" i="7"/>
  <c r="J18" i="7"/>
  <c r="J19" i="7"/>
  <c r="J9" i="7"/>
  <c r="N44" i="5" l="1"/>
  <c r="N42" i="5"/>
  <c r="N41" i="5"/>
  <c r="N40" i="5"/>
  <c r="H48" i="5"/>
  <c r="H47" i="5"/>
  <c r="H46" i="5"/>
  <c r="H40" i="5"/>
  <c r="H42" i="5"/>
  <c r="M48" i="5"/>
  <c r="O48" i="5" s="1"/>
  <c r="L48" i="5"/>
  <c r="J48" i="5"/>
  <c r="G48" i="5"/>
  <c r="F48" i="5"/>
  <c r="D48" i="5"/>
  <c r="M47" i="5"/>
  <c r="O47" i="5" s="1"/>
  <c r="L47" i="5"/>
  <c r="J47" i="5"/>
  <c r="G47" i="5"/>
  <c r="I47" i="5" s="1"/>
  <c r="F47" i="5"/>
  <c r="D47" i="5"/>
  <c r="M46" i="5"/>
  <c r="O46" i="5" s="1"/>
  <c r="L46" i="5"/>
  <c r="J46" i="5"/>
  <c r="G46" i="5"/>
  <c r="F46" i="5"/>
  <c r="D46" i="5"/>
  <c r="M45" i="5"/>
  <c r="O45" i="5" s="1"/>
  <c r="L45" i="5"/>
  <c r="J45" i="5"/>
  <c r="G45" i="5"/>
  <c r="I45" i="5" s="1"/>
  <c r="F45" i="5"/>
  <c r="D45" i="5"/>
  <c r="M44" i="5"/>
  <c r="L44" i="5"/>
  <c r="J44" i="5"/>
  <c r="G44" i="5"/>
  <c r="I44" i="5" s="1"/>
  <c r="F44" i="5"/>
  <c r="D44" i="5"/>
  <c r="N33" i="5"/>
  <c r="H37" i="5"/>
  <c r="H36" i="5"/>
  <c r="H35" i="5"/>
  <c r="N31" i="5"/>
  <c r="N21" i="5"/>
  <c r="N30" i="5"/>
  <c r="N29" i="5"/>
  <c r="H31" i="5"/>
  <c r="H29" i="5"/>
  <c r="M33" i="5"/>
  <c r="L33" i="5"/>
  <c r="J33" i="5"/>
  <c r="G33" i="5"/>
  <c r="I33" i="5" s="1"/>
  <c r="F33" i="5"/>
  <c r="D33" i="5"/>
  <c r="M32" i="5"/>
  <c r="O32" i="5" s="1"/>
  <c r="L32" i="5"/>
  <c r="J32" i="5"/>
  <c r="G32" i="5"/>
  <c r="I32" i="5" s="1"/>
  <c r="F32" i="5"/>
  <c r="D32" i="5"/>
  <c r="M31" i="5"/>
  <c r="L31" i="5"/>
  <c r="J31" i="5"/>
  <c r="G31" i="5"/>
  <c r="F31" i="5"/>
  <c r="D31" i="5"/>
  <c r="M30" i="5"/>
  <c r="L30" i="5"/>
  <c r="J30" i="5"/>
  <c r="G30" i="5"/>
  <c r="F30" i="5"/>
  <c r="D30" i="5"/>
  <c r="H24" i="5"/>
  <c r="H26" i="5"/>
  <c r="H25" i="5"/>
  <c r="M25" i="5"/>
  <c r="O25" i="5" s="1"/>
  <c r="L25" i="5"/>
  <c r="J25" i="5"/>
  <c r="G25" i="5"/>
  <c r="F25" i="5"/>
  <c r="D25" i="5"/>
  <c r="M24" i="5"/>
  <c r="O24" i="5" s="1"/>
  <c r="L24" i="5"/>
  <c r="J24" i="5"/>
  <c r="G24" i="5"/>
  <c r="F24" i="5"/>
  <c r="D24" i="5"/>
  <c r="M26" i="5"/>
  <c r="O26" i="5" s="1"/>
  <c r="L26" i="5"/>
  <c r="J26" i="5"/>
  <c r="G26" i="5"/>
  <c r="F26" i="5"/>
  <c r="D26" i="5"/>
  <c r="H18" i="5"/>
  <c r="H17" i="5"/>
  <c r="H20" i="5"/>
  <c r="M18" i="5"/>
  <c r="M19" i="5"/>
  <c r="M20" i="5"/>
  <c r="M21" i="5"/>
  <c r="M22" i="5"/>
  <c r="M23" i="5"/>
  <c r="L18" i="5"/>
  <c r="L19" i="5"/>
  <c r="L20" i="5"/>
  <c r="L21" i="5"/>
  <c r="L22" i="5"/>
  <c r="L23" i="5"/>
  <c r="J18" i="5"/>
  <c r="J19" i="5"/>
  <c r="J20" i="5"/>
  <c r="J21" i="5"/>
  <c r="J22" i="5"/>
  <c r="J23" i="5"/>
  <c r="G18" i="5"/>
  <c r="G19" i="5"/>
  <c r="G20" i="5"/>
  <c r="G21" i="5"/>
  <c r="I21" i="5" s="1"/>
  <c r="G22" i="5"/>
  <c r="I22" i="5" s="1"/>
  <c r="G23" i="5"/>
  <c r="F18" i="5"/>
  <c r="F19" i="5"/>
  <c r="F20" i="5"/>
  <c r="F21" i="5"/>
  <c r="F22" i="5"/>
  <c r="F23" i="5"/>
  <c r="D18" i="5"/>
  <c r="D19" i="5"/>
  <c r="D20" i="5"/>
  <c r="D21" i="5"/>
  <c r="D22" i="5"/>
  <c r="D23" i="5"/>
  <c r="N20" i="5"/>
  <c r="N19" i="5"/>
  <c r="N18" i="5"/>
  <c r="N17" i="5"/>
  <c r="I46" i="5" l="1"/>
  <c r="I48" i="5"/>
  <c r="O44" i="5"/>
  <c r="O33" i="5"/>
  <c r="O31" i="5"/>
  <c r="O30" i="5"/>
  <c r="I31" i="5"/>
  <c r="I30" i="5"/>
  <c r="I24" i="5"/>
  <c r="I26" i="5"/>
  <c r="O22" i="5"/>
  <c r="I25" i="5"/>
  <c r="O21" i="5"/>
  <c r="M55" i="5"/>
  <c r="O55" i="5" s="1"/>
  <c r="L55" i="5"/>
  <c r="J55" i="5"/>
  <c r="G55" i="5"/>
  <c r="I55" i="5" s="1"/>
  <c r="F55" i="5"/>
  <c r="D55" i="5"/>
  <c r="M54" i="5"/>
  <c r="O54" i="5" s="1"/>
  <c r="L54" i="5"/>
  <c r="J54" i="5"/>
  <c r="G54" i="5"/>
  <c r="I54" i="5" s="1"/>
  <c r="F54" i="5"/>
  <c r="D54" i="5"/>
  <c r="M53" i="5"/>
  <c r="O53" i="5" s="1"/>
  <c r="L53" i="5"/>
  <c r="J53" i="5"/>
  <c r="G53" i="5"/>
  <c r="I53" i="5" s="1"/>
  <c r="F53" i="5"/>
  <c r="D53" i="5"/>
  <c r="M52" i="5"/>
  <c r="O52" i="5" s="1"/>
  <c r="L52" i="5"/>
  <c r="J52" i="5"/>
  <c r="G52" i="5"/>
  <c r="I52" i="5" s="1"/>
  <c r="F52" i="5"/>
  <c r="D52" i="5"/>
  <c r="M51" i="5"/>
  <c r="O51" i="5" s="1"/>
  <c r="L51" i="5"/>
  <c r="J51" i="5"/>
  <c r="G51" i="5"/>
  <c r="I51" i="5" s="1"/>
  <c r="F51" i="5"/>
  <c r="D51" i="5"/>
  <c r="Q50" i="5"/>
  <c r="M43" i="5"/>
  <c r="O43" i="5" s="1"/>
  <c r="L43" i="5"/>
  <c r="J43" i="5"/>
  <c r="G43" i="5"/>
  <c r="I43" i="5" s="1"/>
  <c r="F43" i="5"/>
  <c r="D43" i="5"/>
  <c r="M42" i="5"/>
  <c r="O42" i="5" s="1"/>
  <c r="L42" i="5"/>
  <c r="J42" i="5"/>
  <c r="G42" i="5"/>
  <c r="I42" i="5" s="1"/>
  <c r="F42" i="5"/>
  <c r="D42" i="5"/>
  <c r="M41" i="5"/>
  <c r="O41" i="5" s="1"/>
  <c r="L41" i="5"/>
  <c r="J41" i="5"/>
  <c r="G41" i="5"/>
  <c r="I41" i="5" s="1"/>
  <c r="F41" i="5"/>
  <c r="D41" i="5"/>
  <c r="M40" i="5"/>
  <c r="O40" i="5" s="1"/>
  <c r="L40" i="5"/>
  <c r="J40" i="5"/>
  <c r="G40" i="5"/>
  <c r="I40" i="5" s="1"/>
  <c r="F40" i="5"/>
  <c r="D40" i="5"/>
  <c r="Q39" i="5"/>
  <c r="O50" i="5" l="1"/>
  <c r="O39" i="5"/>
  <c r="I50" i="5"/>
  <c r="I39" i="5"/>
  <c r="P50" i="5" l="1"/>
  <c r="P39" i="5"/>
  <c r="M75" i="6" l="1"/>
  <c r="M70" i="6" l="1"/>
  <c r="L70" i="6"/>
  <c r="M69" i="6"/>
  <c r="J69" i="6"/>
  <c r="M68" i="6"/>
  <c r="J68" i="6"/>
  <c r="M65" i="6"/>
  <c r="J65" i="6"/>
  <c r="M64" i="6"/>
  <c r="L64" i="6"/>
  <c r="M63" i="6"/>
  <c r="L63" i="6"/>
  <c r="M60" i="6"/>
  <c r="L60" i="6"/>
  <c r="M59" i="6"/>
  <c r="J59" i="6"/>
  <c r="M56" i="6"/>
  <c r="L56" i="6"/>
  <c r="M55" i="6"/>
  <c r="J55" i="6"/>
  <c r="M54" i="6"/>
  <c r="L54" i="6"/>
  <c r="N54" i="6" s="1"/>
  <c r="M51" i="6"/>
  <c r="L51" i="6"/>
  <c r="M50" i="6"/>
  <c r="L50" i="6"/>
  <c r="M47" i="6"/>
  <c r="L47" i="6"/>
  <c r="M46" i="6"/>
  <c r="L46" i="6"/>
  <c r="N46" i="6" s="1"/>
  <c r="M45" i="6"/>
  <c r="L45" i="6"/>
  <c r="N45" i="6" s="1"/>
  <c r="M44" i="6"/>
  <c r="L44" i="6"/>
  <c r="M43" i="6"/>
  <c r="L43" i="6"/>
  <c r="I40" i="6"/>
  <c r="M40" i="6" s="1"/>
  <c r="H40" i="6"/>
  <c r="L40" i="6" s="1"/>
  <c r="I39" i="6"/>
  <c r="M39" i="6" s="1"/>
  <c r="H39" i="6"/>
  <c r="L39" i="6" s="1"/>
  <c r="L34" i="6"/>
  <c r="L31" i="6"/>
  <c r="L29" i="6"/>
  <c r="L28" i="6"/>
  <c r="L27" i="6"/>
  <c r="L23" i="6"/>
  <c r="L19" i="6"/>
  <c r="M34" i="6"/>
  <c r="M33" i="6"/>
  <c r="L33" i="6"/>
  <c r="M32" i="6"/>
  <c r="L32" i="6"/>
  <c r="M31" i="6"/>
  <c r="M30" i="6"/>
  <c r="M29" i="6"/>
  <c r="M28" i="6"/>
  <c r="M27" i="6"/>
  <c r="M26" i="6"/>
  <c r="L26" i="6"/>
  <c r="M25" i="6"/>
  <c r="L25" i="6"/>
  <c r="M24" i="6"/>
  <c r="L24" i="6"/>
  <c r="M23" i="6"/>
  <c r="M19" i="6"/>
  <c r="M18" i="6"/>
  <c r="L18" i="6"/>
  <c r="M15" i="6"/>
  <c r="L15" i="6"/>
  <c r="M14" i="6"/>
  <c r="L14" i="6"/>
  <c r="N26" i="6" l="1"/>
  <c r="N70" i="6"/>
  <c r="N14" i="6"/>
  <c r="N40" i="6"/>
  <c r="N51" i="6"/>
  <c r="N60" i="6"/>
  <c r="M52" i="6"/>
  <c r="N39" i="6"/>
  <c r="M71" i="6"/>
  <c r="L69" i="6"/>
  <c r="N69" i="6" s="1"/>
  <c r="M66" i="6"/>
  <c r="N64" i="6"/>
  <c r="N63" i="6"/>
  <c r="M61" i="6"/>
  <c r="L59" i="6"/>
  <c r="L61" i="6" s="1"/>
  <c r="N56" i="6"/>
  <c r="M57" i="6"/>
  <c r="L48" i="6"/>
  <c r="M48" i="6"/>
  <c r="N43" i="6"/>
  <c r="J70" i="6"/>
  <c r="L68" i="6"/>
  <c r="J64" i="6"/>
  <c r="J63" i="6"/>
  <c r="L65" i="6"/>
  <c r="J60" i="6"/>
  <c r="J54" i="6"/>
  <c r="J56" i="6"/>
  <c r="L55" i="6"/>
  <c r="N55" i="6" s="1"/>
  <c r="L52" i="6"/>
  <c r="N50" i="6"/>
  <c r="J50" i="6"/>
  <c r="J51" i="6"/>
  <c r="N44" i="6"/>
  <c r="N47" i="6"/>
  <c r="J44" i="6"/>
  <c r="J46" i="6"/>
  <c r="J43" i="6"/>
  <c r="J45" i="6"/>
  <c r="J47" i="6"/>
  <c r="N27" i="6"/>
  <c r="J39" i="6"/>
  <c r="J40" i="6"/>
  <c r="N34" i="6"/>
  <c r="N33" i="6"/>
  <c r="N28" i="6"/>
  <c r="N32" i="6"/>
  <c r="N24" i="6"/>
  <c r="J30" i="6"/>
  <c r="M35" i="6"/>
  <c r="N31" i="6"/>
  <c r="N18" i="6"/>
  <c r="N25" i="6"/>
  <c r="N23" i="6"/>
  <c r="N29" i="6"/>
  <c r="J26" i="6"/>
  <c r="J32" i="6"/>
  <c r="L30" i="6"/>
  <c r="N30" i="6" s="1"/>
  <c r="J28" i="6"/>
  <c r="J34" i="6"/>
  <c r="J23" i="6"/>
  <c r="J25" i="6"/>
  <c r="J27" i="6"/>
  <c r="J29" i="6"/>
  <c r="J31" i="6"/>
  <c r="J33" i="6"/>
  <c r="J24" i="6"/>
  <c r="N19" i="6"/>
  <c r="J18" i="6"/>
  <c r="J19" i="6"/>
  <c r="M16" i="6"/>
  <c r="N15" i="6"/>
  <c r="L16" i="6"/>
  <c r="J14" i="6"/>
  <c r="J15" i="6"/>
  <c r="M11" i="6"/>
  <c r="L11" i="6"/>
  <c r="I10" i="6"/>
  <c r="M37" i="5"/>
  <c r="O37" i="5" s="1"/>
  <c r="L37" i="5"/>
  <c r="J37" i="5"/>
  <c r="G37" i="5"/>
  <c r="I37" i="5" s="1"/>
  <c r="F37" i="5"/>
  <c r="D37" i="5"/>
  <c r="M36" i="5"/>
  <c r="O36" i="5" s="1"/>
  <c r="L36" i="5"/>
  <c r="J36" i="5"/>
  <c r="G36" i="5"/>
  <c r="I36" i="5" s="1"/>
  <c r="F36" i="5"/>
  <c r="D36" i="5"/>
  <c r="M35" i="5"/>
  <c r="O35" i="5" s="1"/>
  <c r="L35" i="5"/>
  <c r="J35" i="5"/>
  <c r="G35" i="5"/>
  <c r="I35" i="5" s="1"/>
  <c r="F35" i="5"/>
  <c r="D35" i="5"/>
  <c r="M34" i="5"/>
  <c r="O34" i="5" s="1"/>
  <c r="L34" i="5"/>
  <c r="J34" i="5"/>
  <c r="G34" i="5"/>
  <c r="I34" i="5" s="1"/>
  <c r="F34" i="5"/>
  <c r="D34" i="5"/>
  <c r="M29" i="5"/>
  <c r="O29" i="5" s="1"/>
  <c r="L29" i="5"/>
  <c r="J29" i="5"/>
  <c r="G29" i="5"/>
  <c r="I29" i="5" s="1"/>
  <c r="F29" i="5"/>
  <c r="D29" i="5"/>
  <c r="Q28" i="5"/>
  <c r="O23" i="5"/>
  <c r="I23" i="5"/>
  <c r="O20" i="5"/>
  <c r="I20" i="5"/>
  <c r="O19" i="5"/>
  <c r="I19" i="5"/>
  <c r="O18" i="5"/>
  <c r="I18" i="5"/>
  <c r="M17" i="5"/>
  <c r="O17" i="5" s="1"/>
  <c r="L17" i="5"/>
  <c r="J17" i="5"/>
  <c r="G17" i="5"/>
  <c r="I17" i="5" s="1"/>
  <c r="F17" i="5"/>
  <c r="D17" i="5"/>
  <c r="Q16" i="5"/>
  <c r="Q9" i="5"/>
  <c r="M14" i="5"/>
  <c r="O14" i="5" s="1"/>
  <c r="L14" i="5"/>
  <c r="J14" i="5"/>
  <c r="G14" i="5"/>
  <c r="I14" i="5" s="1"/>
  <c r="F14" i="5"/>
  <c r="D14" i="5"/>
  <c r="M13" i="5"/>
  <c r="O13" i="5" s="1"/>
  <c r="L13" i="5"/>
  <c r="J13" i="5"/>
  <c r="G13" i="5"/>
  <c r="I13" i="5" s="1"/>
  <c r="F13" i="5"/>
  <c r="D13" i="5"/>
  <c r="M12" i="5"/>
  <c r="O12" i="5" s="1"/>
  <c r="L12" i="5"/>
  <c r="J12" i="5"/>
  <c r="G12" i="5"/>
  <c r="I12" i="5" s="1"/>
  <c r="F12" i="5"/>
  <c r="D12" i="5"/>
  <c r="M11" i="5"/>
  <c r="O11" i="5" s="1"/>
  <c r="L11" i="5"/>
  <c r="J11" i="5"/>
  <c r="G11" i="5"/>
  <c r="I11" i="5" s="1"/>
  <c r="F11" i="5"/>
  <c r="D11" i="5"/>
  <c r="M10" i="5"/>
  <c r="O10" i="5" s="1"/>
  <c r="L10" i="5"/>
  <c r="J10" i="5"/>
  <c r="G10" i="5"/>
  <c r="I10" i="5" s="1"/>
  <c r="F10" i="5"/>
  <c r="D10" i="5"/>
  <c r="G7" i="1"/>
  <c r="G14" i="1"/>
  <c r="G21" i="1"/>
  <c r="H21" i="1"/>
  <c r="H14" i="1"/>
  <c r="H7" i="1"/>
  <c r="N59" i="6" l="1"/>
  <c r="N16" i="6"/>
  <c r="N52" i="6"/>
  <c r="I16" i="5"/>
  <c r="H37" i="6" s="1"/>
  <c r="L37" i="6" s="1"/>
  <c r="I28" i="5"/>
  <c r="H38" i="6" s="1"/>
  <c r="L38" i="6" s="1"/>
  <c r="N61" i="6"/>
  <c r="N65" i="6"/>
  <c r="N66" i="6" s="1"/>
  <c r="L66" i="6"/>
  <c r="N57" i="6"/>
  <c r="L57" i="6"/>
  <c r="N48" i="6"/>
  <c r="L71" i="6"/>
  <c r="N68" i="6"/>
  <c r="N71" i="6" s="1"/>
  <c r="O28" i="5"/>
  <c r="I38" i="6" s="1"/>
  <c r="N35" i="6"/>
  <c r="L35" i="6"/>
  <c r="N11" i="6"/>
  <c r="J11" i="6"/>
  <c r="O16" i="5"/>
  <c r="I37" i="6" s="1"/>
  <c r="I9" i="5"/>
  <c r="H20" i="6" s="1"/>
  <c r="L20" i="6" s="1"/>
  <c r="L21" i="6" s="1"/>
  <c r="O9" i="5"/>
  <c r="G18" i="7" l="1"/>
  <c r="E18" i="7"/>
  <c r="I18" i="7"/>
  <c r="I16" i="7"/>
  <c r="G16" i="7"/>
  <c r="E16" i="7"/>
  <c r="I14" i="7"/>
  <c r="G14" i="7"/>
  <c r="E14" i="7"/>
  <c r="I12" i="7"/>
  <c r="E12" i="7"/>
  <c r="G12" i="7"/>
  <c r="E10" i="7"/>
  <c r="I10" i="7"/>
  <c r="G10" i="7"/>
  <c r="E19" i="7"/>
  <c r="G19" i="7"/>
  <c r="I19" i="7"/>
  <c r="L41" i="6"/>
  <c r="M38" i="6"/>
  <c r="N38" i="6" s="1"/>
  <c r="J38" i="6"/>
  <c r="G17" i="7"/>
  <c r="I17" i="7"/>
  <c r="E17" i="7"/>
  <c r="M37" i="6"/>
  <c r="J37" i="6"/>
  <c r="I15" i="7"/>
  <c r="G15" i="7"/>
  <c r="E15" i="7"/>
  <c r="P16" i="5"/>
  <c r="P28" i="5"/>
  <c r="M10" i="6"/>
  <c r="M12" i="6" s="1"/>
  <c r="I20" i="6"/>
  <c r="P9" i="5"/>
  <c r="M41" i="6" l="1"/>
  <c r="N37" i="6"/>
  <c r="N41" i="6" s="1"/>
  <c r="M20" i="6"/>
  <c r="J20" i="6"/>
  <c r="L10" i="6"/>
  <c r="J10" i="6"/>
  <c r="I13" i="7" l="1"/>
  <c r="G13" i="7"/>
  <c r="E13" i="7"/>
  <c r="N20" i="6"/>
  <c r="N21" i="6" s="1"/>
  <c r="M21" i="6"/>
  <c r="M72" i="6" s="1"/>
  <c r="N10" i="6"/>
  <c r="N12" i="6" s="1"/>
  <c r="L12" i="6"/>
  <c r="L72" i="6" s="1"/>
  <c r="G9" i="7" l="1"/>
  <c r="E9" i="7"/>
  <c r="I9" i="7"/>
  <c r="E11" i="7"/>
  <c r="G11" i="7"/>
  <c r="I11" i="7"/>
  <c r="N72" i="6"/>
  <c r="E20" i="7" l="1"/>
  <c r="E21" i="7" s="1"/>
  <c r="I20" i="7"/>
  <c r="H20" i="7" s="1"/>
  <c r="G20" i="7"/>
  <c r="F20" i="7" s="1"/>
  <c r="D20" i="7" l="1"/>
  <c r="D21" i="7" s="1"/>
  <c r="G21" i="7"/>
  <c r="I21" i="7" l="1"/>
  <c r="H21" i="7" s="1"/>
  <c r="F21" i="7"/>
</calcChain>
</file>

<file path=xl/sharedStrings.xml><?xml version="1.0" encoding="utf-8"?>
<sst xmlns="http://schemas.openxmlformats.org/spreadsheetml/2006/main" count="472" uniqueCount="213">
  <si>
    <t>Demostrativo de Cotações - Data: Junho de 2023</t>
  </si>
  <si>
    <t>Obra: COBERTURA PÁTIO ESCOLA LIBERATO</t>
  </si>
  <si>
    <t>Endereço: RUA GAL. FLORES DA CUNHA, 245 - TRIUNFO</t>
  </si>
  <si>
    <t>CÓDIGO</t>
  </si>
  <si>
    <t>CONTATO</t>
  </si>
  <si>
    <t>UNIDADE</t>
  </si>
  <si>
    <t>DATA BASE</t>
  </si>
  <si>
    <t>VALOR COTADO</t>
  </si>
  <si>
    <t>UND</t>
  </si>
  <si>
    <t>CNPJ</t>
  </si>
  <si>
    <t>NOME DA EMPRESA FORNECEDORA</t>
  </si>
  <si>
    <t>DATA COTAÇÃO</t>
  </si>
  <si>
    <t>PREÇO</t>
  </si>
  <si>
    <t>TELEFONE / LINK</t>
  </si>
  <si>
    <t>DESCRIÇÃO DO SERVIÇO OU FORNECIMENTO</t>
  </si>
  <si>
    <r>
      <t xml:space="preserve">Cliente: </t>
    </r>
    <r>
      <rPr>
        <u/>
        <sz val="12"/>
        <color theme="1"/>
        <rFont val="Calibri"/>
        <family val="2"/>
        <scheme val="minor"/>
      </rPr>
      <t>PREFEITURA MUNICIPAL DE TRIUNFO</t>
    </r>
  </si>
  <si>
    <t>Preços Unitários (Materiais) - Data: Junho de 2023</t>
  </si>
  <si>
    <t>PREÇOS UNITÁRIOS - MATERIAIS</t>
  </si>
  <si>
    <t>ITEM</t>
  </si>
  <si>
    <t>DISCRIMINAÇÃO</t>
  </si>
  <si>
    <t>REFERÊNCIA</t>
  </si>
  <si>
    <t>P. UNIT.</t>
  </si>
  <si>
    <t>PREÇOS UNITÁRIOS - MÃO DE OBRA</t>
  </si>
  <si>
    <t>SERVIÇO</t>
  </si>
  <si>
    <t>UND. / REF.</t>
  </si>
  <si>
    <t>MATERIAL</t>
  </si>
  <si>
    <t>CUSTO</t>
  </si>
  <si>
    <t>COEF.</t>
  </si>
  <si>
    <t>TOTAL MAT</t>
  </si>
  <si>
    <t>REF.</t>
  </si>
  <si>
    <t>MÃO DE OBRA</t>
  </si>
  <si>
    <t xml:space="preserve">CUSTO </t>
  </si>
  <si>
    <t>TOTAL MO</t>
  </si>
  <si>
    <t>TOTAL COMPOSIÇÃO</t>
  </si>
  <si>
    <t>COMPOSIÇÕES DE CUSTO - SEM BDI</t>
  </si>
  <si>
    <t>CP-1</t>
  </si>
  <si>
    <t>CP-2</t>
  </si>
  <si>
    <t>CP-3</t>
  </si>
  <si>
    <t>CUSTO MATERIAL</t>
  </si>
  <si>
    <t>CUSTO MÃO DE OBRA</t>
  </si>
  <si>
    <t>Composições de Custo - Data: Junho de 2023</t>
  </si>
  <si>
    <t>Planilha de Orçamento Global - Data: Junho de 2023</t>
  </si>
  <si>
    <t>PLANILHA DE ORÇAMENTO GLOBAL</t>
  </si>
  <si>
    <t>DESCRIÇÃO</t>
  </si>
  <si>
    <t>QTD</t>
  </si>
  <si>
    <t>TOTAL</t>
  </si>
  <si>
    <t>BDI</t>
  </si>
  <si>
    <t>FONTE REFER.</t>
  </si>
  <si>
    <t>VALOR UNITÁRIO</t>
  </si>
  <si>
    <t>VALOR TOTAL COM BDI</t>
  </si>
  <si>
    <t>SERVIÇOS INICIAIS</t>
  </si>
  <si>
    <t>1.1</t>
  </si>
  <si>
    <t>1.2</t>
  </si>
  <si>
    <t>PRÓPRIA</t>
  </si>
  <si>
    <t>SINAPI</t>
  </si>
  <si>
    <t>M2</t>
  </si>
  <si>
    <t>M</t>
  </si>
  <si>
    <t>SUBTOTAL ITEM 1:</t>
  </si>
  <si>
    <t>FORNECIMENTO E INSTALAÇÃO DE PLACA DE OBRA COM CHAPA GALVANIZADA E ESTRUTURA DE MADEIRA</t>
  </si>
  <si>
    <t>ADMINISTRAÇÃO DE OBRA</t>
  </si>
  <si>
    <t>LOCAÇÃO DE ANDAIME METÁLICO TIPO FACHADEIRO, LARGURA DE 1,20 M X ALTURA DE 2,00 M POR PAINEL, INCLUINDO DIAGONAIS EM X, BARRAS DE LIGAÇÃO, SAPATAS E DEMAIS ITENS NECESSÁRIOS À MONTAGEM</t>
  </si>
  <si>
    <t>SINAPI - INSUMO</t>
  </si>
  <si>
    <t>M2XMÊS</t>
  </si>
  <si>
    <t>SUBTOTAL ITEM 2:</t>
  </si>
  <si>
    <t>2.1</t>
  </si>
  <si>
    <t>2.2</t>
  </si>
  <si>
    <t>LOCAÇÃO CONVENCIONAL DE OBRA, UTILIZANDO GABARITO DE TÁBUAS CORRIDAS PONTALETADAS A CADA 2,00 M - 2 UTILIZAÇÕES</t>
  </si>
  <si>
    <t>SUBTOTAL ITEM 3:</t>
  </si>
  <si>
    <t>SUBTOTAL ITEM 4:</t>
  </si>
  <si>
    <t>REMOÇÕES E DEMOLIÇÕES</t>
  </si>
  <si>
    <t>INFRAESTRUTURA E TERRAPLENAGEM</t>
  </si>
  <si>
    <t>3.1</t>
  </si>
  <si>
    <t>REMOÇÃO DE PLACAS E PILARETES DE CONCRETO, DE FORMA MANUAL, SEM REAPROVEITAMENTO</t>
  </si>
  <si>
    <t>M3</t>
  </si>
  <si>
    <t>3.2</t>
  </si>
  <si>
    <t>DEMOLIÇÃO DE LAJES, DE FORMA MECANIZADA COM MARTELETE, SEM REAPROVEITAMENTO</t>
  </si>
  <si>
    <t>3.3</t>
  </si>
  <si>
    <t>ENCANADOR OU BOMBEIRO HIDRÁULICO COM ENCARGOS COMPLEMENTARES</t>
  </si>
  <si>
    <t>H</t>
  </si>
  <si>
    <t>SINAPI - COMPOSIÇÃO</t>
  </si>
  <si>
    <t>SERVENTE COM ENCARGOS COMPLEMENTARES</t>
  </si>
  <si>
    <t>RETIRADA E REMOÇÃO DE CALHAS METÁLICAS</t>
  </si>
  <si>
    <t>4.1</t>
  </si>
  <si>
    <t>ESTACA ESCAVADA MECANICAMENTE, SEM FLUIDO ESTABILIZANTE, COM 25 CM DE DIÂMETRO, CONCRETO LANÇADO MANUALMENTE</t>
  </si>
  <si>
    <t>4.2</t>
  </si>
  <si>
    <t>ESCAVAÇÃO MANUAL PARA BLOCO DE COROAMENTO OU SAPATA (INCLUINDO ESCAVAÇÃO PARA COLOCAÇÃO DE FORMAS)</t>
  </si>
  <si>
    <t>4.3</t>
  </si>
  <si>
    <t>ESCAVAÇÃO MANUAL DE VALA PARA VIGA BALDRAME (INCLUINDO ESCAVAÇÃO PARA COLOCAÇÃO DE FORMAS)</t>
  </si>
  <si>
    <t>4.4</t>
  </si>
  <si>
    <t>ESCAVAÇÃO MANUAL DE VALA COM PROFUNDIDADE MENOR OU IGUAL A 1,30 M</t>
  </si>
  <si>
    <t>4.5</t>
  </si>
  <si>
    <t>LASTRO COM MATERIAL GRANULAR, APLICAÇÃO EM BLOCO DE COROAMENTO, ESPESSURA DE 5 CM</t>
  </si>
  <si>
    <t>4.6</t>
  </si>
  <si>
    <t>LASTRO COM MATERIAL GRANULAR, APLICADO EM PISOS OU LAJES SOBRE SOLO, ESPESSURA DE 5 CM</t>
  </si>
  <si>
    <t>4.7</t>
  </si>
  <si>
    <t>REATERRO MANUAL DE VALAS COM COMPACTAÇÃO MECANIZADA</t>
  </si>
  <si>
    <t>4.8</t>
  </si>
  <si>
    <t>FABRICAÇÃO, MONTAGEM E DESMONTAGEM DE FORMA PARA BLOCO DE COROAMENTO, EM MADEIRA SERRADA, E=25 MM, 1 UTILIZAÇÃO</t>
  </si>
  <si>
    <t>4.9</t>
  </si>
  <si>
    <t>FABRICAÇÃO, MONTAGEM E DESMONTAGEM DE FORMA PARA VIGA BALDRAME, EM MADEIRA SERRADA, E=25 MM, 1 UTILIZAÇÃO</t>
  </si>
  <si>
    <t>4.10</t>
  </si>
  <si>
    <t>ARMAÇÃO DE BLOCO, VIGA BALDRAME E SAPATA UTILIZANDO AÇO CA-60 DE 5 MM - MONTAGEM</t>
  </si>
  <si>
    <t>KG</t>
  </si>
  <si>
    <t>4.11</t>
  </si>
  <si>
    <t>ARMAÇÃO DE BLOCO, VIGA BALDRAME OU SAPATA UTILIZANDO AÇO CA-50 DE 12,5 MM - MONTAGEM</t>
  </si>
  <si>
    <t>4.12</t>
  </si>
  <si>
    <t>CONCRETAGEM DE BLOCOS DE COROAMENTO E VIGAS BALDRAME, FCK 30 MPA, COM USO DE JERICA - LANÇAMENTO, ADENSAMENTO E ACABAMENTO</t>
  </si>
  <si>
    <t>SUPRAESTRUTURA</t>
  </si>
  <si>
    <t>SUBTOTAL ITEM 5:</t>
  </si>
  <si>
    <t>SUBTOTAL ITEM 6:</t>
  </si>
  <si>
    <t>COBERTURA</t>
  </si>
  <si>
    <t>IMPERMEABILIZAÇÃO</t>
  </si>
  <si>
    <t>SUBTOTAL ITEM 7:</t>
  </si>
  <si>
    <t>PINTURAS</t>
  </si>
  <si>
    <t>SUBTOTAL ITEM 8:</t>
  </si>
  <si>
    <t>PISO E PAVIMENTAÇÃO</t>
  </si>
  <si>
    <t>SUBTOTAL ITEM 9:</t>
  </si>
  <si>
    <t>INSTALAÇÕES HIDROSSANITÁRIAS</t>
  </si>
  <si>
    <t>SUBTOTAL ITEM 10:</t>
  </si>
  <si>
    <t>SERVIÇOS FINAIS</t>
  </si>
  <si>
    <t>SUBTOTAL ITEM 11:</t>
  </si>
  <si>
    <t>TOTAL DO ORÇAMENTO:</t>
  </si>
  <si>
    <t>Observações:</t>
  </si>
  <si>
    <t>- Encargos Sociais: 111,10%</t>
  </si>
  <si>
    <t>- Responsável Técnico: Humberto Brandão</t>
  </si>
  <si>
    <t>Triunfo/RS,</t>
  </si>
  <si>
    <t>6.1</t>
  </si>
  <si>
    <t>6.2</t>
  </si>
  <si>
    <t>TELHAMENTO COM TELHA DE AÇO/ALUMÍNIO E = 0,5 MM, COM ATÉ 2 ÁGUAS, INCLUSO IÇAMENTO</t>
  </si>
  <si>
    <t>6.3</t>
  </si>
  <si>
    <t>TRAMA DE AÇO COMPOSTA POR TERÇAS PARA TELHADOS DE ATÉ 2 ÁGUAS PARA TELHA DE FIBROCIMENTO, METÁLICA, PLÁSTICA OU TERMOACÚSTICA, INCLUSO TRANSPORTE VERTICAL</t>
  </si>
  <si>
    <t>TELHAMENTO COM TELHA DE FIBRA DE VIDRO E = 0,6 MM, PARA TELHADO COM INCLINAÇÃO MAIOR QUE 10°, COM ATÉ ÁGUAS 2M INCLUSO IÇAMENTO</t>
  </si>
  <si>
    <t>6.4</t>
  </si>
  <si>
    <t>CUMEEIRA PARA TELHA E = 6 MM, INCLUSO ACESÓRIOS DE FIXAÇÃO E IÇAMENTO</t>
  </si>
  <si>
    <t>6.5</t>
  </si>
  <si>
    <t>CALHA EM CHAPA DE AÇO GALVANIZADO NÚMERO 24, DESENVOLVIMENTO DE 50 CM, INCLUSO TRANSPORTE VERTICAL</t>
  </si>
  <si>
    <t>7.1</t>
  </si>
  <si>
    <t>IMPERMEBILIZAÇÃO DE SUPERFÍCIE COM EMULSÃO ASFÁLTICA, 2 DEMÃOS</t>
  </si>
  <si>
    <t>7.2</t>
  </si>
  <si>
    <t>8.1</t>
  </si>
  <si>
    <t>LIXAMENTO MANUAL EM SUPERFÍCIES METÁLICAS EM OBRA</t>
  </si>
  <si>
    <t>8.2</t>
  </si>
  <si>
    <t>8.3</t>
  </si>
  <si>
    <t>PINTURA COM TINTA ALQUÍDICA DE ACABAMENTO (ESMALTE SINTÉTICO ACETINADO) APLICADA A ROLO OU PINCEL SOBRE SUPERFÍCIES METÁLICAS (EXCETO PERFIL) EXECUTADO EM OBRA (POR DEMÃO)</t>
  </si>
  <si>
    <t>9.1</t>
  </si>
  <si>
    <t>CONTRAPISO EM ARGAMASSA TRAÇO 1:4 (CIMENTO E AREIA), PREPARO MANUAL, APLICADO EM ÁREAS MOLHADAS SOBRE IMPERMEABILIZAÇÃO, ACABAMENTO NÃO REFORÇADO, ESPESSURA 4 CM</t>
  </si>
  <si>
    <t>9.2</t>
  </si>
  <si>
    <t>10.1</t>
  </si>
  <si>
    <t>CAIXA ENTERRADA HIDRÁULICA RETANGULAR EM ALVENARIA COM TIJOLOS CERÂMICO MACIÇOS, DIMENSÕES INTERNAS: 0,6 X 0,6 X 0,6 M PARA REDE DE DRENAGEM</t>
  </si>
  <si>
    <t>10.2</t>
  </si>
  <si>
    <t>TUBO PVC, SÉRIE R, ÁGUA PLUVIAL, DN 150 MM, FORNECIDO E INSTALADO EM CONDUTORES VERTICAIS DE ÁGUAS PLUVIAIS</t>
  </si>
  <si>
    <t>10.3</t>
  </si>
  <si>
    <t>TUBO PVC, SÉRIE R, ÁGUA PLUVIAL, DN 150 MM, FORNECIDO E INSTALADO EM RAMAL DE ENCAMINHAMENTO</t>
  </si>
  <si>
    <t>11.1</t>
  </si>
  <si>
    <t>CARGA, MANOBRA E DESCARGA DE ENTULHO EM CAMINHÃO BASCULANTE 6 M3 - CARGA COM ESCAVADEIRA HIDRÁULICA (CAÇAMBA DE  0,80 M3 / 111 HP) E DESCARGA LIVRE (UNIDADE: M3)</t>
  </si>
  <si>
    <t>11.2</t>
  </si>
  <si>
    <t>TRANSPORTE COM CAMINHÃO BACULANTE DE 10 M3, EM VIA URBANA PAVIMENTADA, DMT ATÉ 30 KM (UNIDADE: M3XKM)</t>
  </si>
  <si>
    <t>M3XKM</t>
  </si>
  <si>
    <t>11.3</t>
  </si>
  <si>
    <t>LIMPEZA DE CONTRAPISO COM VASSOURA A SECO</t>
  </si>
  <si>
    <t>ELETRODO REVESTIDO AWS - E7018, DIÂMETRO IGUAL A 4,00 MM</t>
  </si>
  <si>
    <t>CHAPA DE AÇO GROSSA, ASTM A36, E = 3/4" (19,05 MM) 149,39 KG/M2</t>
  </si>
  <si>
    <t>PERFIL "U" EM CHAPA DOBRADA, E = 3,04 MM, H = 20 CM, ABAS = 5 CM (4,47 KG/M)</t>
  </si>
  <si>
    <t>CANTONEIRA ABAS IGUAIS 1 1/2", E = 3/16"</t>
  </si>
  <si>
    <t>PERFIL UDC ("U" DOBRADO DE CHAPA) SIMPLES DE AÇO LAMINADO, GALVANIZADO, ASTM A36, 127 X 50 MM, E = 3 MM</t>
  </si>
  <si>
    <t>AÇO CA-25, 10,0 MM, OU 12,5 MM, OU 16,0 MM, OU 20,0 MM, OU 25,0 MM, VERGALHÃO</t>
  </si>
  <si>
    <t>GUNDASTE HIDRÁULICO AUTOPROPELIDO, COM LANÇA TELESCÓPICA 40 M, CAPACIDADE MÁXIMA 60 T, POTÊNCIA 260 KW - CHP DIURNO</t>
  </si>
  <si>
    <t>GUNDASTE HIDRÁULICO AUTOPROPELIDO, COM LANÇA TELESCÓPICA 40 M, CAPACIDADE MÁXIMA 60 T, POTÊNCIA 260 KW - CHI DIURNO</t>
  </si>
  <si>
    <t>PARAFUSO DE AÇO TIPO CHUMBADOR PARABOLT, DIÂMETRO 3/8", COMPRIMENTO 75 MM</t>
  </si>
  <si>
    <t>CHP</t>
  </si>
  <si>
    <t>CHI</t>
  </si>
  <si>
    <t>CP-4</t>
  </si>
  <si>
    <t>CP-5</t>
  </si>
  <si>
    <t>SERRALHEIRO COM ENCARGOS COMPLEMENTARES</t>
  </si>
  <si>
    <t>SOLDADOR COM ENCARGOS COMPLEMENTARES</t>
  </si>
  <si>
    <t>MONTADOR DE ESTRUTURA METÁLICA COM ENCARGOS COMPLEMENTARES</t>
  </si>
  <si>
    <t>Análoga composição 92255</t>
  </si>
  <si>
    <t>Composição 100720</t>
  </si>
  <si>
    <t>PINTOR COM ENCARGOS COMPLEMENTARES</t>
  </si>
  <si>
    <t>DILUENTE AGUARRÁS</t>
  </si>
  <si>
    <t>L</t>
  </si>
  <si>
    <t>FUNDO ANTICORROSIVO PARA METAIS FERROSOS (ZARCÃO)</t>
  </si>
  <si>
    <t>Composição 100740</t>
  </si>
  <si>
    <t>TINTA ESMALTE SINTÉTICO PREMIUM ACETINADO</t>
  </si>
  <si>
    <t>Análoga composição 92256</t>
  </si>
  <si>
    <t>TESOURA METÁLICA DE ESTRUTURA TRELIÇADA, INCLUSIVE PINTURA DE FUNDO E ACABAMENTO (2 DEMÃOS) - FORNECIMENTO E INSTALAÇÃO</t>
  </si>
  <si>
    <t>VIGA METÁLICA DE ESTRUTURA TRELIÇADA, INCLUSIVE PINTURA DE FUNDO E ACABAMENTO (2 DEMÃOS) - FORNECIMENTO E INSTALAÇÃO</t>
  </si>
  <si>
    <t>PILAR METÁLICO DE ESTRUTURA TRELIÇADA, INCLUSIVE PINTURA DE FUNDO E ACABAMENTO (2 DEMÃOS) - FORNECIMENTO E INSTALAÇÃO</t>
  </si>
  <si>
    <t>Análoga composição 92258</t>
  </si>
  <si>
    <t>TIRANTE EM FERRO GALVANIZADO PARA CONTRAVENTAMENTO 3/8"</t>
  </si>
  <si>
    <t>CIMENTO PORTLAND COMPOSTO CP II-32</t>
  </si>
  <si>
    <t>ARGAMASSA COLANTE TIPO AC III</t>
  </si>
  <si>
    <t>5.1</t>
  </si>
  <si>
    <t>5.2</t>
  </si>
  <si>
    <t>5.3</t>
  </si>
  <si>
    <t>5.4</t>
  </si>
  <si>
    <t>Preços Unitários (Mão de Obra) - Data: Junho de 2023</t>
  </si>
  <si>
    <t>Cronograma - Data: Junho de 2023</t>
  </si>
  <si>
    <t>CRONOGRAMA</t>
  </si>
  <si>
    <t>30 DIAS</t>
  </si>
  <si>
    <t>VALOR (R$)</t>
  </si>
  <si>
    <t>% EXECUÇÃO</t>
  </si>
  <si>
    <t>60 DIAS</t>
  </si>
  <si>
    <t>TOTAL DA ETAPA</t>
  </si>
  <si>
    <t>TOTAL ACUMULADO</t>
  </si>
  <si>
    <t>90 DIAS</t>
  </si>
  <si>
    <t>- Encargos Sociais: 112,77%</t>
  </si>
  <si>
    <t>- Data Base: SINAPI Não-Desonerado 05/23</t>
  </si>
  <si>
    <t>MONTAGEM E DESMONTAGEM DE ANDAIME MODULAR FACHADEIRO, COM PISO METÁLICO, PARA EDIFICAÇÕES COM MÚLTIPLOS PAVIMENTOS (EXCLUSIVE ANDAIME E LIMPEZA)</t>
  </si>
  <si>
    <t>APLICAÇÃO DE LONA PLÁSTICA PARA EXECUÇÃO DE PAVIMENTOS DE CONCRETO</t>
  </si>
  <si>
    <t>PISO CIMENTADO, TRAÇO 1:3 (CIMENTO E AREIA), ACABAMENTO LISO, ESPESSURA 4,0 CM, PREPARO MECÂNICO DA ARGAMASSA</t>
  </si>
  <si>
    <t>- BDI: 22,51%</t>
  </si>
  <si>
    <t>PINTURA COM TINTA ALQUÍDICA DE FUNDO (TIPO ZARCÃO) APLICADA A ROLO OU PINCEL SOBRE SUPERFÍCIES METÁLICAS (EXCETO PERFIL) EXECUTADO EM OBRA (POR DEMÃO)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</si>
</sst>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0.0000"/>
    <numFmt numFmtId="166" formatCode="_-&quot;R$&quot;\ * #,##0.0000_-;\-&quot;R$&quot;\ * #,##0.0000_-;_-&quot;R$&quot;\ * &quot;-&quot;????_-;_-@_-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0" xfId="0" applyFont="1"/>
    <xf numFmtId="44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9" fillId="3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indent="10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324970</xdr:colOff>
      <xdr:row>4</xdr:row>
      <xdr:rowOff>258487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01B6F4-5744-4288-88D6-35E8F683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2</xdr:col>
      <xdr:colOff>212912</xdr:colOff>
      <xdr:row>4</xdr:row>
      <xdr:rowOff>258486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3CF1CA-99F2-4A8F-B796-EC16093C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499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36B64C-BFFF-4832-B811-9B87F3A68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694677" cy="784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D0A25C-FE85-4855-938D-9783459C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1</xdr:col>
      <xdr:colOff>732778</xdr:colOff>
      <xdr:row>4</xdr:row>
      <xdr:rowOff>31414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738105-C89C-4504-81B8-1B894803D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224117"/>
          <a:ext cx="699160" cy="804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748370-6C25-458D-A7E9-C164063A1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78"/>
  <sheetViews>
    <sheetView showGridLines="0" tabSelected="1" view="pageBreakPreview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4" width="13.85546875" style="2" customWidth="1"/>
    <col min="5" max="5" width="65.7109375" style="2" customWidth="1"/>
    <col min="6" max="6" width="13.85546875" style="2" customWidth="1"/>
    <col min="7" max="7" width="9.140625" style="2"/>
    <col min="8" max="8" width="18.42578125" style="2" customWidth="1"/>
    <col min="9" max="10" width="18.28515625" style="2" customWidth="1"/>
    <col min="11" max="11" width="9.140625" style="2"/>
    <col min="12" max="14" width="18.28515625" style="2" customWidth="1"/>
    <col min="15" max="16384" width="9.140625" style="2"/>
  </cols>
  <sheetData>
    <row r="2" spans="2:14" ht="21" customHeight="1" x14ac:dyDescent="0.25">
      <c r="B2" s="51" t="s">
        <v>41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2:14" ht="21" customHeight="1" x14ac:dyDescent="0.25">
      <c r="B3" s="54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</row>
    <row r="4" spans="2:14" ht="21" customHeight="1" x14ac:dyDescent="0.25">
      <c r="B4" s="54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6"/>
    </row>
    <row r="5" spans="2:14" ht="21" customHeight="1" x14ac:dyDescent="0.25">
      <c r="B5" s="57" t="s">
        <v>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2:14" ht="15.75" x14ac:dyDescent="0.25">
      <c r="B6" s="60" t="s">
        <v>42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2:14" ht="15" customHeight="1" x14ac:dyDescent="0.25">
      <c r="B7" s="61" t="s">
        <v>18</v>
      </c>
      <c r="C7" s="61" t="s">
        <v>47</v>
      </c>
      <c r="D7" s="61" t="s">
        <v>3</v>
      </c>
      <c r="E7" s="61" t="s">
        <v>43</v>
      </c>
      <c r="F7" s="61" t="s">
        <v>44</v>
      </c>
      <c r="G7" s="61" t="s">
        <v>8</v>
      </c>
      <c r="H7" s="61" t="s">
        <v>48</v>
      </c>
      <c r="I7" s="61"/>
      <c r="J7" s="61"/>
      <c r="K7" s="61" t="s">
        <v>46</v>
      </c>
      <c r="L7" s="61" t="s">
        <v>49</v>
      </c>
      <c r="M7" s="61"/>
      <c r="N7" s="61"/>
    </row>
    <row r="8" spans="2:14" x14ac:dyDescent="0.25">
      <c r="B8" s="61"/>
      <c r="C8" s="61"/>
      <c r="D8" s="61"/>
      <c r="E8" s="61"/>
      <c r="F8" s="61"/>
      <c r="G8" s="61"/>
      <c r="H8" s="16" t="s">
        <v>25</v>
      </c>
      <c r="I8" s="16" t="s">
        <v>30</v>
      </c>
      <c r="J8" s="16" t="s">
        <v>45</v>
      </c>
      <c r="K8" s="61"/>
      <c r="L8" s="16" t="s">
        <v>25</v>
      </c>
      <c r="M8" s="16" t="s">
        <v>30</v>
      </c>
      <c r="N8" s="16" t="s">
        <v>45</v>
      </c>
    </row>
    <row r="9" spans="2:14" ht="15" customHeight="1" x14ac:dyDescent="0.25">
      <c r="B9" s="28">
        <v>1</v>
      </c>
      <c r="C9" s="46" t="s">
        <v>59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2:14" ht="38.25" x14ac:dyDescent="0.25">
      <c r="B10" s="7" t="s">
        <v>51</v>
      </c>
      <c r="C10" s="7" t="s">
        <v>61</v>
      </c>
      <c r="D10" s="7">
        <v>20193</v>
      </c>
      <c r="E10" s="18" t="s">
        <v>60</v>
      </c>
      <c r="F10" s="29">
        <v>20</v>
      </c>
      <c r="G10" s="7" t="s">
        <v>62</v>
      </c>
      <c r="H10" s="21">
        <v>18.75</v>
      </c>
      <c r="I10" s="21">
        <f>IFERROR(IF($C10="PRÓPRIA",VLOOKUP($E10,CPU!$C$9:P5006,13,0),0),0)</f>
        <v>0</v>
      </c>
      <c r="J10" s="21">
        <f>IFERROR(H10+I10,0)</f>
        <v>18.75</v>
      </c>
      <c r="K10" s="30">
        <v>0.22509999999999999</v>
      </c>
      <c r="L10" s="21">
        <f>TRUNC((1+$K10)*$F10*H10,2)</f>
        <v>459.41</v>
      </c>
      <c r="M10" s="21">
        <f>TRUNC((1+$K10)*$F10*I10,2)</f>
        <v>0</v>
      </c>
      <c r="N10" s="21">
        <f>IFERROR(L10+M10,0)</f>
        <v>459.41</v>
      </c>
    </row>
    <row r="11" spans="2:14" ht="38.25" x14ac:dyDescent="0.25">
      <c r="B11" s="7" t="s">
        <v>52</v>
      </c>
      <c r="C11" s="7" t="s">
        <v>54</v>
      </c>
      <c r="D11" s="7">
        <v>97063</v>
      </c>
      <c r="E11" s="18" t="s">
        <v>208</v>
      </c>
      <c r="F11" s="29">
        <v>60</v>
      </c>
      <c r="G11" s="7" t="s">
        <v>55</v>
      </c>
      <c r="H11" s="21">
        <v>2.0699999999999998</v>
      </c>
      <c r="I11" s="21">
        <v>8.93</v>
      </c>
      <c r="J11" s="21">
        <f>IFERROR(H11+I11,0)</f>
        <v>11</v>
      </c>
      <c r="K11" s="30">
        <v>0.22509999999999999</v>
      </c>
      <c r="L11" s="21">
        <f>TRUNC((1+$K11)*$F11*H11,2)</f>
        <v>152.15</v>
      </c>
      <c r="M11" s="21">
        <f>TRUNC((1+$K11)*$F11*I11,2)</f>
        <v>656.4</v>
      </c>
      <c r="N11" s="21">
        <f>IFERROR(L11+M11,0)</f>
        <v>808.55</v>
      </c>
    </row>
    <row r="12" spans="2:14" x14ac:dyDescent="0.25">
      <c r="B12" s="48" t="s">
        <v>57</v>
      </c>
      <c r="C12" s="48"/>
      <c r="D12" s="48"/>
      <c r="E12" s="48"/>
      <c r="F12" s="48"/>
      <c r="G12" s="48"/>
      <c r="H12" s="48"/>
      <c r="I12" s="48"/>
      <c r="J12" s="48"/>
      <c r="K12" s="48"/>
      <c r="L12" s="31">
        <f>SUM(L10:L11)</f>
        <v>611.56000000000006</v>
      </c>
      <c r="M12" s="31">
        <f t="shared" ref="M12:N12" si="0">SUM(M10:M11)</f>
        <v>656.4</v>
      </c>
      <c r="N12" s="31">
        <f t="shared" si="0"/>
        <v>1267.96</v>
      </c>
    </row>
    <row r="13" spans="2:14" ht="15" customHeight="1" x14ac:dyDescent="0.25">
      <c r="B13" s="28">
        <v>2</v>
      </c>
      <c r="C13" s="46" t="s">
        <v>50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</row>
    <row r="14" spans="2:14" ht="25.5" x14ac:dyDescent="0.25">
      <c r="B14" s="7" t="s">
        <v>64</v>
      </c>
      <c r="C14" s="7" t="s">
        <v>54</v>
      </c>
      <c r="D14" s="7">
        <v>103689</v>
      </c>
      <c r="E14" s="18" t="s">
        <v>58</v>
      </c>
      <c r="F14" s="29">
        <v>2.88</v>
      </c>
      <c r="G14" s="7" t="s">
        <v>55</v>
      </c>
      <c r="H14" s="21">
        <v>276.68</v>
      </c>
      <c r="I14" s="21">
        <v>29.88</v>
      </c>
      <c r="J14" s="21">
        <f t="shared" ref="J14:J15" si="1">IFERROR(H14+I14,0)</f>
        <v>306.56</v>
      </c>
      <c r="K14" s="30">
        <v>0.22509999999999999</v>
      </c>
      <c r="L14" s="21">
        <f t="shared" ref="L14:L15" si="2">TRUNC((1+$K14)*$F14*H14,2)</f>
        <v>976.2</v>
      </c>
      <c r="M14" s="21">
        <f t="shared" ref="M14:M15" si="3">TRUNC((1+$K14)*$F14*I14,2)</f>
        <v>105.42</v>
      </c>
      <c r="N14" s="21">
        <f t="shared" ref="N14:N15" si="4">IFERROR(L14+M14,0)</f>
        <v>1081.6200000000001</v>
      </c>
    </row>
    <row r="15" spans="2:14" ht="25.5" x14ac:dyDescent="0.25">
      <c r="B15" s="7" t="s">
        <v>65</v>
      </c>
      <c r="C15" s="7" t="s">
        <v>54</v>
      </c>
      <c r="D15" s="7">
        <v>99059</v>
      </c>
      <c r="E15" s="18" t="s">
        <v>66</v>
      </c>
      <c r="F15" s="29">
        <v>24.3</v>
      </c>
      <c r="G15" s="7" t="s">
        <v>56</v>
      </c>
      <c r="H15" s="21">
        <v>24.37</v>
      </c>
      <c r="I15" s="21">
        <v>24.23</v>
      </c>
      <c r="J15" s="21">
        <f t="shared" si="1"/>
        <v>48.6</v>
      </c>
      <c r="K15" s="30">
        <v>0.22509999999999999</v>
      </c>
      <c r="L15" s="21">
        <f t="shared" si="2"/>
        <v>725.49</v>
      </c>
      <c r="M15" s="21">
        <f t="shared" si="3"/>
        <v>721.32</v>
      </c>
      <c r="N15" s="21">
        <f t="shared" si="4"/>
        <v>1446.81</v>
      </c>
    </row>
    <row r="16" spans="2:14" x14ac:dyDescent="0.25">
      <c r="B16" s="48" t="s">
        <v>63</v>
      </c>
      <c r="C16" s="48"/>
      <c r="D16" s="48"/>
      <c r="E16" s="48"/>
      <c r="F16" s="48"/>
      <c r="G16" s="48"/>
      <c r="H16" s="48"/>
      <c r="I16" s="48"/>
      <c r="J16" s="48"/>
      <c r="K16" s="48"/>
      <c r="L16" s="31">
        <f>SUM(L14:L15)</f>
        <v>1701.69</v>
      </c>
      <c r="M16" s="31">
        <f t="shared" ref="M16:N16" si="5">SUM(M14:M15)</f>
        <v>826.74</v>
      </c>
      <c r="N16" s="31">
        <f t="shared" si="5"/>
        <v>2528.4300000000003</v>
      </c>
    </row>
    <row r="17" spans="2:14" ht="15" customHeight="1" x14ac:dyDescent="0.25">
      <c r="B17" s="28">
        <v>3</v>
      </c>
      <c r="C17" s="46" t="s">
        <v>69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</row>
    <row r="18" spans="2:14" ht="25.5" x14ac:dyDescent="0.25">
      <c r="B18" s="7" t="s">
        <v>71</v>
      </c>
      <c r="C18" s="7" t="s">
        <v>54</v>
      </c>
      <c r="D18" s="7">
        <v>97639</v>
      </c>
      <c r="E18" s="18" t="s">
        <v>72</v>
      </c>
      <c r="F18" s="29">
        <v>3.61</v>
      </c>
      <c r="G18" s="7" t="s">
        <v>73</v>
      </c>
      <c r="H18" s="21">
        <v>4.5</v>
      </c>
      <c r="I18" s="21">
        <v>14.73</v>
      </c>
      <c r="J18" s="21">
        <f t="shared" ref="J18:J19" si="6">IFERROR(H18+I18,0)</f>
        <v>19.23</v>
      </c>
      <c r="K18" s="30">
        <v>0.22509999999999999</v>
      </c>
      <c r="L18" s="21">
        <f t="shared" ref="L18:L19" si="7">TRUNC((1+$K18)*$F18*H18,2)</f>
        <v>19.899999999999999</v>
      </c>
      <c r="M18" s="21">
        <f t="shared" ref="M18:M19" si="8">TRUNC((1+$K18)*$F18*I18,2)</f>
        <v>65.14</v>
      </c>
      <c r="N18" s="21">
        <f t="shared" ref="N18:N19" si="9">IFERROR(L18+M18,0)</f>
        <v>85.039999999999992</v>
      </c>
    </row>
    <row r="19" spans="2:14" ht="25.5" x14ac:dyDescent="0.25">
      <c r="B19" s="7" t="s">
        <v>74</v>
      </c>
      <c r="C19" s="7" t="s">
        <v>54</v>
      </c>
      <c r="D19" s="7">
        <v>97629</v>
      </c>
      <c r="E19" s="18" t="s">
        <v>75</v>
      </c>
      <c r="F19" s="29">
        <v>14.42</v>
      </c>
      <c r="G19" s="7" t="s">
        <v>73</v>
      </c>
      <c r="H19" s="21">
        <f>8.17+27.14</f>
        <v>35.31</v>
      </c>
      <c r="I19" s="21">
        <v>104.45</v>
      </c>
      <c r="J19" s="21">
        <f t="shared" si="6"/>
        <v>139.76</v>
      </c>
      <c r="K19" s="30">
        <v>0.22509999999999999</v>
      </c>
      <c r="L19" s="21">
        <f t="shared" si="7"/>
        <v>623.78</v>
      </c>
      <c r="M19" s="21">
        <f t="shared" si="8"/>
        <v>1845.2</v>
      </c>
      <c r="N19" s="21">
        <f t="shared" si="9"/>
        <v>2468.98</v>
      </c>
    </row>
    <row r="20" spans="2:14" x14ac:dyDescent="0.25">
      <c r="B20" s="7" t="s">
        <v>76</v>
      </c>
      <c r="C20" s="7" t="s">
        <v>53</v>
      </c>
      <c r="D20" s="7" t="s">
        <v>35</v>
      </c>
      <c r="E20" s="18" t="s">
        <v>81</v>
      </c>
      <c r="F20" s="29">
        <v>38.799999999999997</v>
      </c>
      <c r="G20" s="7" t="s">
        <v>56</v>
      </c>
      <c r="H20" s="21">
        <f>IFERROR(IF($C20="PRÓPRIA",VLOOKUP($E20,CPU!$C$9:P5016,7,0),0),0)</f>
        <v>0</v>
      </c>
      <c r="I20" s="21">
        <f>IFERROR(IF($C20="PRÓPRIA",VLOOKUP($E20,CPU!$C$9:P5016,13,0),0),0)</f>
        <v>11.73</v>
      </c>
      <c r="J20" s="21">
        <f t="shared" ref="J20" si="10">IFERROR(H20+I20,0)</f>
        <v>11.73</v>
      </c>
      <c r="K20" s="30">
        <v>0.22509999999999999</v>
      </c>
      <c r="L20" s="21">
        <f t="shared" ref="L20" si="11">TRUNC((1+$K20)*$F20*H20,2)</f>
        <v>0</v>
      </c>
      <c r="M20" s="21">
        <f t="shared" ref="M20" si="12">TRUNC((1+$K20)*$F20*I20,2)</f>
        <v>557.57000000000005</v>
      </c>
      <c r="N20" s="21">
        <f t="shared" ref="N20" si="13">IFERROR(L20+M20,0)</f>
        <v>557.57000000000005</v>
      </c>
    </row>
    <row r="21" spans="2:14" x14ac:dyDescent="0.25">
      <c r="B21" s="48" t="s">
        <v>67</v>
      </c>
      <c r="C21" s="48"/>
      <c r="D21" s="48"/>
      <c r="E21" s="48"/>
      <c r="F21" s="48"/>
      <c r="G21" s="48"/>
      <c r="H21" s="48"/>
      <c r="I21" s="48"/>
      <c r="J21" s="48"/>
      <c r="K21" s="48"/>
      <c r="L21" s="31">
        <f>SUM(L18:L20)</f>
        <v>643.67999999999995</v>
      </c>
      <c r="M21" s="31">
        <f t="shared" ref="M21:N21" si="14">SUM(M18:M20)</f>
        <v>2467.9100000000003</v>
      </c>
      <c r="N21" s="31">
        <f t="shared" si="14"/>
        <v>3111.59</v>
      </c>
    </row>
    <row r="22" spans="2:14" ht="15" customHeight="1" x14ac:dyDescent="0.25">
      <c r="B22" s="28">
        <v>4</v>
      </c>
      <c r="C22" s="46" t="s">
        <v>70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/>
    </row>
    <row r="23" spans="2:14" ht="25.5" x14ac:dyDescent="0.25">
      <c r="B23" s="7" t="s">
        <v>82</v>
      </c>
      <c r="C23" s="7" t="s">
        <v>54</v>
      </c>
      <c r="D23" s="7">
        <v>100899</v>
      </c>
      <c r="E23" s="18" t="s">
        <v>83</v>
      </c>
      <c r="F23" s="29">
        <v>48</v>
      </c>
      <c r="G23" s="7" t="s">
        <v>56</v>
      </c>
      <c r="H23" s="21">
        <f>16.58+45.33</f>
        <v>61.91</v>
      </c>
      <c r="I23" s="21">
        <v>25.22</v>
      </c>
      <c r="J23" s="21">
        <f t="shared" ref="J23:J34" si="15">IFERROR(H23+I23,0)</f>
        <v>87.13</v>
      </c>
      <c r="K23" s="30">
        <v>0.22509999999999999</v>
      </c>
      <c r="L23" s="21">
        <f t="shared" ref="L23:L34" si="16">TRUNC((1+$K23)*$F23*H23,2)</f>
        <v>3640.6</v>
      </c>
      <c r="M23" s="21">
        <f t="shared" ref="M23:M34" si="17">TRUNC((1+$K23)*$F23*I23,2)</f>
        <v>1483.05</v>
      </c>
      <c r="N23" s="21">
        <f t="shared" ref="N23:N34" si="18">IFERROR(L23+M23,0)</f>
        <v>5123.6499999999996</v>
      </c>
    </row>
    <row r="24" spans="2:14" ht="25.5" x14ac:dyDescent="0.25">
      <c r="B24" s="7" t="s">
        <v>84</v>
      </c>
      <c r="C24" s="7" t="s">
        <v>54</v>
      </c>
      <c r="D24" s="7">
        <v>96523</v>
      </c>
      <c r="E24" s="18" t="s">
        <v>85</v>
      </c>
      <c r="F24" s="29">
        <v>4.8600000000000003</v>
      </c>
      <c r="G24" s="7" t="s">
        <v>73</v>
      </c>
      <c r="H24" s="21">
        <v>22.86</v>
      </c>
      <c r="I24" s="21">
        <v>72.84</v>
      </c>
      <c r="J24" s="21">
        <f t="shared" si="15"/>
        <v>95.7</v>
      </c>
      <c r="K24" s="30">
        <v>0.22509999999999999</v>
      </c>
      <c r="L24" s="21">
        <f t="shared" si="16"/>
        <v>136.1</v>
      </c>
      <c r="M24" s="21">
        <f t="shared" si="17"/>
        <v>433.68</v>
      </c>
      <c r="N24" s="21">
        <f t="shared" si="18"/>
        <v>569.78</v>
      </c>
    </row>
    <row r="25" spans="2:14" ht="25.5" x14ac:dyDescent="0.25">
      <c r="B25" s="7" t="s">
        <v>86</v>
      </c>
      <c r="C25" s="7" t="s">
        <v>54</v>
      </c>
      <c r="D25" s="7">
        <v>96527</v>
      </c>
      <c r="E25" s="18" t="s">
        <v>87</v>
      </c>
      <c r="F25" s="29">
        <v>9.42</v>
      </c>
      <c r="G25" s="7" t="s">
        <v>73</v>
      </c>
      <c r="H25" s="21">
        <v>30.15</v>
      </c>
      <c r="I25" s="21">
        <v>95.63</v>
      </c>
      <c r="J25" s="21">
        <f t="shared" si="15"/>
        <v>125.78</v>
      </c>
      <c r="K25" s="30">
        <v>0.22509999999999999</v>
      </c>
      <c r="L25" s="21">
        <f t="shared" si="16"/>
        <v>347.94</v>
      </c>
      <c r="M25" s="21">
        <f t="shared" si="17"/>
        <v>1103.6099999999999</v>
      </c>
      <c r="N25" s="21">
        <f t="shared" si="18"/>
        <v>1451.55</v>
      </c>
    </row>
    <row r="26" spans="2:14" x14ac:dyDescent="0.25">
      <c r="B26" s="7" t="s">
        <v>88</v>
      </c>
      <c r="C26" s="7" t="s">
        <v>54</v>
      </c>
      <c r="D26" s="7">
        <v>93358</v>
      </c>
      <c r="E26" s="18" t="s">
        <v>89</v>
      </c>
      <c r="F26" s="29">
        <v>8.0399999999999991</v>
      </c>
      <c r="G26" s="7" t="s">
        <v>73</v>
      </c>
      <c r="H26" s="21">
        <v>21.14</v>
      </c>
      <c r="I26" s="21">
        <v>63.12</v>
      </c>
      <c r="J26" s="21">
        <f t="shared" si="15"/>
        <v>84.259999999999991</v>
      </c>
      <c r="K26" s="30">
        <v>0.22509999999999999</v>
      </c>
      <c r="L26" s="21">
        <f t="shared" si="16"/>
        <v>208.22</v>
      </c>
      <c r="M26" s="21">
        <f t="shared" si="17"/>
        <v>621.71</v>
      </c>
      <c r="N26" s="21">
        <f t="shared" si="18"/>
        <v>829.93000000000006</v>
      </c>
    </row>
    <row r="27" spans="2:14" ht="25.5" x14ac:dyDescent="0.25">
      <c r="B27" s="7" t="s">
        <v>90</v>
      </c>
      <c r="C27" s="7" t="s">
        <v>54</v>
      </c>
      <c r="D27" s="7">
        <v>96621</v>
      </c>
      <c r="E27" s="18" t="s">
        <v>91</v>
      </c>
      <c r="F27" s="29">
        <v>1.58</v>
      </c>
      <c r="G27" s="7" t="s">
        <v>73</v>
      </c>
      <c r="H27" s="21">
        <f>0.13+107.16</f>
        <v>107.28999999999999</v>
      </c>
      <c r="I27" s="21">
        <v>86.85</v>
      </c>
      <c r="J27" s="21">
        <f t="shared" si="15"/>
        <v>194.14</v>
      </c>
      <c r="K27" s="30">
        <v>0.22509999999999999</v>
      </c>
      <c r="L27" s="21">
        <f t="shared" si="16"/>
        <v>207.67</v>
      </c>
      <c r="M27" s="21">
        <f t="shared" si="17"/>
        <v>168.11</v>
      </c>
      <c r="N27" s="21">
        <f t="shared" si="18"/>
        <v>375.78</v>
      </c>
    </row>
    <row r="28" spans="2:14" ht="25.5" x14ac:dyDescent="0.25">
      <c r="B28" s="7" t="s">
        <v>92</v>
      </c>
      <c r="C28" s="7" t="s">
        <v>54</v>
      </c>
      <c r="D28" s="7">
        <v>96622</v>
      </c>
      <c r="E28" s="18" t="s">
        <v>93</v>
      </c>
      <c r="F28" s="29">
        <v>7.21</v>
      </c>
      <c r="G28" s="7" t="s">
        <v>73</v>
      </c>
      <c r="H28" s="21">
        <f>0.06+91</f>
        <v>91.06</v>
      </c>
      <c r="I28" s="21">
        <v>30.98</v>
      </c>
      <c r="J28" s="21">
        <f t="shared" si="15"/>
        <v>122.04</v>
      </c>
      <c r="K28" s="30">
        <v>0.22509999999999999</v>
      </c>
      <c r="L28" s="21">
        <f t="shared" si="16"/>
        <v>804.33</v>
      </c>
      <c r="M28" s="21">
        <f t="shared" si="17"/>
        <v>273.64</v>
      </c>
      <c r="N28" s="21">
        <f t="shared" si="18"/>
        <v>1077.97</v>
      </c>
    </row>
    <row r="29" spans="2:14" x14ac:dyDescent="0.25">
      <c r="B29" s="7" t="s">
        <v>94</v>
      </c>
      <c r="C29" s="7" t="s">
        <v>54</v>
      </c>
      <c r="D29" s="7">
        <v>93382</v>
      </c>
      <c r="E29" s="18" t="s">
        <v>95</v>
      </c>
      <c r="F29" s="29">
        <v>28.9</v>
      </c>
      <c r="G29" s="7" t="s">
        <v>73</v>
      </c>
      <c r="H29" s="21">
        <f>1.58+8.3</f>
        <v>9.8800000000000008</v>
      </c>
      <c r="I29" s="21">
        <v>24.34</v>
      </c>
      <c r="J29" s="21">
        <f t="shared" si="15"/>
        <v>34.22</v>
      </c>
      <c r="K29" s="30">
        <v>0.22509999999999999</v>
      </c>
      <c r="L29" s="21">
        <f t="shared" si="16"/>
        <v>349.8</v>
      </c>
      <c r="M29" s="21">
        <f t="shared" si="17"/>
        <v>861.76</v>
      </c>
      <c r="N29" s="21">
        <f t="shared" si="18"/>
        <v>1211.56</v>
      </c>
    </row>
    <row r="30" spans="2:14" ht="25.5" x14ac:dyDescent="0.25">
      <c r="B30" s="7" t="s">
        <v>96</v>
      </c>
      <c r="C30" s="7" t="s">
        <v>54</v>
      </c>
      <c r="D30" s="7">
        <v>96528</v>
      </c>
      <c r="E30" s="18" t="s">
        <v>97</v>
      </c>
      <c r="F30" s="29">
        <v>12.96</v>
      </c>
      <c r="G30" s="7" t="s">
        <v>55</v>
      </c>
      <c r="H30" s="21">
        <f>102.88+0.07</f>
        <v>102.94999999999999</v>
      </c>
      <c r="I30" s="21">
        <v>51.77</v>
      </c>
      <c r="J30" s="21">
        <f t="shared" si="15"/>
        <v>154.72</v>
      </c>
      <c r="K30" s="30">
        <v>0.22509999999999999</v>
      </c>
      <c r="L30" s="21">
        <f t="shared" si="16"/>
        <v>1634.56</v>
      </c>
      <c r="M30" s="21">
        <f t="shared" si="17"/>
        <v>821.96</v>
      </c>
      <c r="N30" s="21">
        <f t="shared" si="18"/>
        <v>2456.52</v>
      </c>
    </row>
    <row r="31" spans="2:14" ht="25.5" x14ac:dyDescent="0.25">
      <c r="B31" s="7" t="s">
        <v>98</v>
      </c>
      <c r="C31" s="7" t="s">
        <v>54</v>
      </c>
      <c r="D31" s="7">
        <v>96530</v>
      </c>
      <c r="E31" s="18" t="s">
        <v>99</v>
      </c>
      <c r="F31" s="29">
        <v>37.68</v>
      </c>
      <c r="G31" s="7" t="s">
        <v>55</v>
      </c>
      <c r="H31" s="21">
        <f>94.83+0.07</f>
        <v>94.899999999999991</v>
      </c>
      <c r="I31" s="21">
        <v>43.86</v>
      </c>
      <c r="J31" s="21">
        <f t="shared" si="15"/>
        <v>138.76</v>
      </c>
      <c r="K31" s="30">
        <v>0.22509999999999999</v>
      </c>
      <c r="L31" s="21">
        <f t="shared" si="16"/>
        <v>4380.75</v>
      </c>
      <c r="M31" s="21">
        <f t="shared" si="17"/>
        <v>2024.65</v>
      </c>
      <c r="N31" s="21">
        <f t="shared" si="18"/>
        <v>6405.4</v>
      </c>
    </row>
    <row r="32" spans="2:14" ht="25.5" x14ac:dyDescent="0.25">
      <c r="B32" s="7" t="s">
        <v>100</v>
      </c>
      <c r="C32" s="7" t="s">
        <v>54</v>
      </c>
      <c r="D32" s="7">
        <v>96543</v>
      </c>
      <c r="E32" s="18" t="s">
        <v>101</v>
      </c>
      <c r="F32" s="29">
        <v>61.73</v>
      </c>
      <c r="G32" s="7" t="s">
        <v>102</v>
      </c>
      <c r="H32" s="21">
        <v>11.6</v>
      </c>
      <c r="I32" s="21">
        <v>6.23</v>
      </c>
      <c r="J32" s="21">
        <f t="shared" si="15"/>
        <v>17.829999999999998</v>
      </c>
      <c r="K32" s="30">
        <v>0.22509999999999999</v>
      </c>
      <c r="L32" s="21">
        <f t="shared" si="16"/>
        <v>877.25</v>
      </c>
      <c r="M32" s="21">
        <f t="shared" si="17"/>
        <v>471.14</v>
      </c>
      <c r="N32" s="21">
        <f t="shared" si="18"/>
        <v>1348.3899999999999</v>
      </c>
    </row>
    <row r="33" spans="2:14" ht="25.5" x14ac:dyDescent="0.25">
      <c r="B33" s="7" t="s">
        <v>103</v>
      </c>
      <c r="C33" s="7" t="s">
        <v>54</v>
      </c>
      <c r="D33" s="7">
        <v>96547</v>
      </c>
      <c r="E33" s="18" t="s">
        <v>104</v>
      </c>
      <c r="F33" s="29">
        <v>218.6</v>
      </c>
      <c r="G33" s="7" t="s">
        <v>102</v>
      </c>
      <c r="H33" s="21">
        <v>9.67</v>
      </c>
      <c r="I33" s="21">
        <v>1.8</v>
      </c>
      <c r="J33" s="21">
        <f t="shared" si="15"/>
        <v>11.47</v>
      </c>
      <c r="K33" s="30">
        <v>0.22509999999999999</v>
      </c>
      <c r="L33" s="21">
        <f t="shared" si="16"/>
        <v>2589.69</v>
      </c>
      <c r="M33" s="21">
        <f t="shared" si="17"/>
        <v>482.05</v>
      </c>
      <c r="N33" s="21">
        <f t="shared" si="18"/>
        <v>3071.7400000000002</v>
      </c>
    </row>
    <row r="34" spans="2:14" ht="25.5" x14ac:dyDescent="0.25">
      <c r="B34" s="7" t="s">
        <v>105</v>
      </c>
      <c r="C34" s="7" t="s">
        <v>54</v>
      </c>
      <c r="D34" s="7">
        <v>96555</v>
      </c>
      <c r="E34" s="18" t="s">
        <v>106</v>
      </c>
      <c r="F34" s="29">
        <v>4.2</v>
      </c>
      <c r="G34" s="7" t="s">
        <v>73</v>
      </c>
      <c r="H34" s="21">
        <f>3.56+528.11+1.67</f>
        <v>533.33999999999992</v>
      </c>
      <c r="I34" s="21">
        <v>154.30000000000001</v>
      </c>
      <c r="J34" s="21">
        <f t="shared" si="15"/>
        <v>687.63999999999987</v>
      </c>
      <c r="K34" s="30">
        <v>0.22509999999999999</v>
      </c>
      <c r="L34" s="21">
        <f t="shared" si="16"/>
        <v>2744.25</v>
      </c>
      <c r="M34" s="21">
        <f t="shared" si="17"/>
        <v>793.93</v>
      </c>
      <c r="N34" s="21">
        <f t="shared" si="18"/>
        <v>3538.18</v>
      </c>
    </row>
    <row r="35" spans="2:14" x14ac:dyDescent="0.25">
      <c r="B35" s="48" t="s">
        <v>68</v>
      </c>
      <c r="C35" s="48"/>
      <c r="D35" s="48"/>
      <c r="E35" s="48"/>
      <c r="F35" s="48"/>
      <c r="G35" s="48"/>
      <c r="H35" s="48"/>
      <c r="I35" s="48"/>
      <c r="J35" s="48"/>
      <c r="K35" s="48"/>
      <c r="L35" s="31">
        <f>SUM(L23:L34)</f>
        <v>17921.16</v>
      </c>
      <c r="M35" s="31">
        <f>SUM(M23:M34)</f>
        <v>9539.2899999999991</v>
      </c>
      <c r="N35" s="31">
        <f>SUM(N23:N34)</f>
        <v>27460.45</v>
      </c>
    </row>
    <row r="36" spans="2:14" ht="15" customHeight="1" x14ac:dyDescent="0.25">
      <c r="B36" s="28">
        <v>5</v>
      </c>
      <c r="C36" s="46" t="s">
        <v>107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7"/>
    </row>
    <row r="37" spans="2:14" ht="25.5" x14ac:dyDescent="0.25">
      <c r="B37" s="7" t="s">
        <v>192</v>
      </c>
      <c r="C37" s="7" t="s">
        <v>53</v>
      </c>
      <c r="D37" s="7" t="s">
        <v>36</v>
      </c>
      <c r="E37" s="18" t="s">
        <v>187</v>
      </c>
      <c r="F37" s="29">
        <v>6</v>
      </c>
      <c r="G37" s="7" t="s">
        <v>8</v>
      </c>
      <c r="H37" s="21">
        <f>IFERROR(IF($C37="PRÓPRIA",VLOOKUP($E37,CPU!$C$9:P5034,7,0),0),0)</f>
        <v>1625.32</v>
      </c>
      <c r="I37" s="21">
        <f>IFERROR(IF($C37="PRÓPRIA",VLOOKUP($E37,CPU!$C$9:P5034,13,0),0),0)</f>
        <v>722.17</v>
      </c>
      <c r="J37" s="21">
        <f t="shared" ref="J37:J40" si="19">IFERROR(H37+I37,0)</f>
        <v>2347.4899999999998</v>
      </c>
      <c r="K37" s="30">
        <v>0.22509999999999999</v>
      </c>
      <c r="L37" s="21">
        <f t="shared" ref="L37:L40" si="20">TRUNC((1+$K37)*$F37*H37,2)</f>
        <v>11947.07</v>
      </c>
      <c r="M37" s="21">
        <f t="shared" ref="M37:M40" si="21">TRUNC((1+$K37)*$F37*I37,2)</f>
        <v>5308.38</v>
      </c>
      <c r="N37" s="21">
        <f t="shared" ref="N37:N40" si="22">IFERROR(L37+M37,0)</f>
        <v>17255.45</v>
      </c>
    </row>
    <row r="38" spans="2:14" ht="25.5" x14ac:dyDescent="0.25">
      <c r="B38" s="7" t="s">
        <v>193</v>
      </c>
      <c r="C38" s="7" t="s">
        <v>53</v>
      </c>
      <c r="D38" s="7" t="s">
        <v>37</v>
      </c>
      <c r="E38" s="18" t="s">
        <v>186</v>
      </c>
      <c r="F38" s="29">
        <v>4</v>
      </c>
      <c r="G38" s="7" t="s">
        <v>8</v>
      </c>
      <c r="H38" s="21">
        <f>IFERROR(IF($C38="PRÓPRIA",VLOOKUP($E38,CPU!$C$9:P5035,7,0),0),0)</f>
        <v>2070.21</v>
      </c>
      <c r="I38" s="21">
        <f>IFERROR(IF($C38="PRÓPRIA",VLOOKUP($E38,CPU!$C$9:P5035,13,0),0),0)</f>
        <v>916.79</v>
      </c>
      <c r="J38" s="21">
        <f t="shared" si="19"/>
        <v>2987</v>
      </c>
      <c r="K38" s="30">
        <v>0.22509999999999999</v>
      </c>
      <c r="L38" s="21">
        <f t="shared" si="20"/>
        <v>10144.85</v>
      </c>
      <c r="M38" s="21">
        <f t="shared" si="21"/>
        <v>4492.63</v>
      </c>
      <c r="N38" s="21">
        <f t="shared" si="22"/>
        <v>14637.48</v>
      </c>
    </row>
    <row r="39" spans="2:14" ht="25.5" x14ac:dyDescent="0.25">
      <c r="B39" s="7" t="s">
        <v>194</v>
      </c>
      <c r="C39" s="7" t="s">
        <v>53</v>
      </c>
      <c r="D39" s="7" t="s">
        <v>171</v>
      </c>
      <c r="E39" s="18" t="s">
        <v>185</v>
      </c>
      <c r="F39" s="29">
        <v>3</v>
      </c>
      <c r="G39" s="7" t="s">
        <v>8</v>
      </c>
      <c r="H39" s="21">
        <f>IFERROR(IF($C39="PRÓPRIA",VLOOKUP($E39,CPU!$C$9:P5036,7,0),0),0)</f>
        <v>3430.58</v>
      </c>
      <c r="I39" s="21">
        <f>IFERROR(IF($C39="PRÓPRIA",VLOOKUP($E39,CPU!$C$9:P5036,13,0),0),0)</f>
        <v>1928.84</v>
      </c>
      <c r="J39" s="21">
        <f t="shared" si="19"/>
        <v>5359.42</v>
      </c>
      <c r="K39" s="30">
        <v>0.22509999999999999</v>
      </c>
      <c r="L39" s="21">
        <f t="shared" si="20"/>
        <v>12608.41</v>
      </c>
      <c r="M39" s="21">
        <f t="shared" si="21"/>
        <v>7089.06</v>
      </c>
      <c r="N39" s="21">
        <f t="shared" si="22"/>
        <v>19697.47</v>
      </c>
    </row>
    <row r="40" spans="2:14" x14ac:dyDescent="0.25">
      <c r="B40" s="7" t="s">
        <v>195</v>
      </c>
      <c r="C40" s="7" t="s">
        <v>53</v>
      </c>
      <c r="D40" s="7" t="s">
        <v>172</v>
      </c>
      <c r="E40" s="18" t="s">
        <v>189</v>
      </c>
      <c r="F40" s="29">
        <v>40</v>
      </c>
      <c r="G40" s="7" t="s">
        <v>56</v>
      </c>
      <c r="H40" s="21">
        <f>IFERROR(IF($C40="PRÓPRIA",VLOOKUP($E40,CPU!$C$9:P5037,7,0),0),0)</f>
        <v>12.57</v>
      </c>
      <c r="I40" s="21">
        <f>IFERROR(IF($C40="PRÓPRIA",VLOOKUP($E40,CPU!$C$9:P5037,13,0),0),0)</f>
        <v>28.18</v>
      </c>
      <c r="J40" s="21">
        <f t="shared" si="19"/>
        <v>40.75</v>
      </c>
      <c r="K40" s="30">
        <v>0.22509999999999999</v>
      </c>
      <c r="L40" s="21">
        <f t="shared" si="20"/>
        <v>615.98</v>
      </c>
      <c r="M40" s="21">
        <f t="shared" si="21"/>
        <v>1380.93</v>
      </c>
      <c r="N40" s="21">
        <f t="shared" si="22"/>
        <v>1996.91</v>
      </c>
    </row>
    <row r="41" spans="2:14" x14ac:dyDescent="0.25">
      <c r="B41" s="48" t="s">
        <v>108</v>
      </c>
      <c r="C41" s="48"/>
      <c r="D41" s="48"/>
      <c r="E41" s="48"/>
      <c r="F41" s="48"/>
      <c r="G41" s="48"/>
      <c r="H41" s="48"/>
      <c r="I41" s="48"/>
      <c r="J41" s="48"/>
      <c r="K41" s="48"/>
      <c r="L41" s="31">
        <f>SUM(L37:L40)</f>
        <v>35316.310000000005</v>
      </c>
      <c r="M41" s="31">
        <f t="shared" ref="M41:N41" si="23">SUM(M37:M40)</f>
        <v>18271</v>
      </c>
      <c r="N41" s="31">
        <f t="shared" si="23"/>
        <v>53587.310000000005</v>
      </c>
    </row>
    <row r="42" spans="2:14" ht="15" customHeight="1" x14ac:dyDescent="0.25">
      <c r="B42" s="28">
        <v>6</v>
      </c>
      <c r="C42" s="46" t="s">
        <v>110</v>
      </c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</row>
    <row r="43" spans="2:14" ht="38.25" x14ac:dyDescent="0.25">
      <c r="B43" s="7" t="s">
        <v>126</v>
      </c>
      <c r="C43" s="7" t="s">
        <v>54</v>
      </c>
      <c r="D43" s="7">
        <v>92580</v>
      </c>
      <c r="E43" s="18" t="s">
        <v>130</v>
      </c>
      <c r="F43" s="29">
        <v>177.8</v>
      </c>
      <c r="G43" s="7" t="s">
        <v>55</v>
      </c>
      <c r="H43" s="21">
        <v>57.63</v>
      </c>
      <c r="I43" s="21">
        <v>6.58</v>
      </c>
      <c r="J43" s="21">
        <f t="shared" ref="J43:J47" si="24">IFERROR(H43+I43,0)</f>
        <v>64.210000000000008</v>
      </c>
      <c r="K43" s="30">
        <v>0.22509999999999999</v>
      </c>
      <c r="L43" s="21">
        <f t="shared" ref="L43:L47" si="25">TRUNC((1+$K43)*$F43*H43,2)</f>
        <v>12553.12</v>
      </c>
      <c r="M43" s="21">
        <f t="shared" ref="M43:M47" si="26">TRUNC((1+$K43)*$F43*I43,2)</f>
        <v>1433.27</v>
      </c>
      <c r="N43" s="21">
        <f t="shared" ref="N43:N47" si="27">IFERROR(L43+M43,0)</f>
        <v>13986.390000000001</v>
      </c>
    </row>
    <row r="44" spans="2:14" ht="25.5" x14ac:dyDescent="0.25">
      <c r="B44" s="7" t="s">
        <v>127</v>
      </c>
      <c r="C44" s="7" t="s">
        <v>54</v>
      </c>
      <c r="D44" s="7">
        <v>94213</v>
      </c>
      <c r="E44" s="18" t="s">
        <v>128</v>
      </c>
      <c r="F44" s="29">
        <v>139.4</v>
      </c>
      <c r="G44" s="7" t="s">
        <v>55</v>
      </c>
      <c r="H44" s="21">
        <v>66.61</v>
      </c>
      <c r="I44" s="21">
        <v>3.38</v>
      </c>
      <c r="J44" s="21">
        <f t="shared" si="24"/>
        <v>69.989999999999995</v>
      </c>
      <c r="K44" s="30">
        <v>0.22509999999999999</v>
      </c>
      <c r="L44" s="21">
        <f t="shared" si="25"/>
        <v>11375.58</v>
      </c>
      <c r="M44" s="21">
        <f t="shared" si="26"/>
        <v>577.23</v>
      </c>
      <c r="N44" s="21">
        <f t="shared" si="27"/>
        <v>11952.81</v>
      </c>
    </row>
    <row r="45" spans="2:14" ht="25.5" x14ac:dyDescent="0.25">
      <c r="B45" s="7" t="s">
        <v>129</v>
      </c>
      <c r="C45" s="7" t="s">
        <v>54</v>
      </c>
      <c r="D45" s="7">
        <v>94449</v>
      </c>
      <c r="E45" s="18" t="s">
        <v>131</v>
      </c>
      <c r="F45" s="29">
        <v>38.4</v>
      </c>
      <c r="G45" s="7" t="s">
        <v>55</v>
      </c>
      <c r="H45" s="21">
        <v>61.12</v>
      </c>
      <c r="I45" s="21">
        <v>4.92</v>
      </c>
      <c r="J45" s="21">
        <f t="shared" si="24"/>
        <v>66.039999999999992</v>
      </c>
      <c r="K45" s="30">
        <v>0.22509999999999999</v>
      </c>
      <c r="L45" s="21">
        <f t="shared" si="25"/>
        <v>2875.31</v>
      </c>
      <c r="M45" s="21">
        <f t="shared" si="26"/>
        <v>231.45</v>
      </c>
      <c r="N45" s="21">
        <f t="shared" si="27"/>
        <v>3106.7599999999998</v>
      </c>
    </row>
    <row r="46" spans="2:14" x14ac:dyDescent="0.25">
      <c r="B46" s="7" t="s">
        <v>132</v>
      </c>
      <c r="C46" s="7" t="s">
        <v>54</v>
      </c>
      <c r="D46" s="7">
        <v>94223</v>
      </c>
      <c r="E46" s="18" t="s">
        <v>133</v>
      </c>
      <c r="F46" s="29">
        <v>14</v>
      </c>
      <c r="G46" s="7" t="s">
        <v>56</v>
      </c>
      <c r="H46" s="21">
        <v>81.739999999999995</v>
      </c>
      <c r="I46" s="21">
        <v>2.42</v>
      </c>
      <c r="J46" s="21">
        <f t="shared" si="24"/>
        <v>84.16</v>
      </c>
      <c r="K46" s="30">
        <v>0.22509999999999999</v>
      </c>
      <c r="L46" s="21">
        <f t="shared" si="25"/>
        <v>1401.95</v>
      </c>
      <c r="M46" s="21">
        <f t="shared" si="26"/>
        <v>41.5</v>
      </c>
      <c r="N46" s="21">
        <f t="shared" si="27"/>
        <v>1443.45</v>
      </c>
    </row>
    <row r="47" spans="2:14" ht="25.5" x14ac:dyDescent="0.25">
      <c r="B47" s="7" t="s">
        <v>134</v>
      </c>
      <c r="C47" s="7" t="s">
        <v>54</v>
      </c>
      <c r="D47" s="7">
        <v>94228</v>
      </c>
      <c r="E47" s="18" t="s">
        <v>135</v>
      </c>
      <c r="F47" s="29">
        <v>38.799999999999997</v>
      </c>
      <c r="G47" s="7" t="s">
        <v>56</v>
      </c>
      <c r="H47" s="21">
        <v>85.06</v>
      </c>
      <c r="I47" s="21">
        <v>12.09</v>
      </c>
      <c r="J47" s="21">
        <f t="shared" si="24"/>
        <v>97.15</v>
      </c>
      <c r="K47" s="30">
        <v>0.22509999999999999</v>
      </c>
      <c r="L47" s="21">
        <f t="shared" si="25"/>
        <v>4043.23</v>
      </c>
      <c r="M47" s="21">
        <f t="shared" si="26"/>
        <v>574.67999999999995</v>
      </c>
      <c r="N47" s="21">
        <f t="shared" si="27"/>
        <v>4617.91</v>
      </c>
    </row>
    <row r="48" spans="2:14" x14ac:dyDescent="0.25">
      <c r="B48" s="48" t="s">
        <v>109</v>
      </c>
      <c r="C48" s="48"/>
      <c r="D48" s="48"/>
      <c r="E48" s="48"/>
      <c r="F48" s="48"/>
      <c r="G48" s="48"/>
      <c r="H48" s="48"/>
      <c r="I48" s="48"/>
      <c r="J48" s="48"/>
      <c r="K48" s="48"/>
      <c r="L48" s="31">
        <f>SUM(L43:L47)</f>
        <v>32249.190000000002</v>
      </c>
      <c r="M48" s="31">
        <f t="shared" ref="M48:N48" si="28">SUM(M43:M47)</f>
        <v>2858.1299999999997</v>
      </c>
      <c r="N48" s="31">
        <f t="shared" si="28"/>
        <v>35107.32</v>
      </c>
    </row>
    <row r="49" spans="2:14" ht="15" customHeight="1" x14ac:dyDescent="0.25">
      <c r="B49" s="28">
        <v>7</v>
      </c>
      <c r="C49" s="46" t="s">
        <v>111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7"/>
    </row>
    <row r="50" spans="2:14" x14ac:dyDescent="0.25">
      <c r="B50" s="7" t="s">
        <v>136</v>
      </c>
      <c r="C50" s="7" t="s">
        <v>54</v>
      </c>
      <c r="D50" s="7">
        <v>98557</v>
      </c>
      <c r="E50" s="18" t="s">
        <v>137</v>
      </c>
      <c r="F50" s="29">
        <v>49.98</v>
      </c>
      <c r="G50" s="7" t="s">
        <v>55</v>
      </c>
      <c r="H50" s="21">
        <v>39.69</v>
      </c>
      <c r="I50" s="21">
        <v>10.59</v>
      </c>
      <c r="J50" s="21">
        <f t="shared" ref="J50:J51" si="29">IFERROR(H50+I50,0)</f>
        <v>50.28</v>
      </c>
      <c r="K50" s="30">
        <v>0.22509999999999999</v>
      </c>
      <c r="L50" s="21">
        <f t="shared" ref="L50:L51" si="30">TRUNC((1+$K50)*$F50*H50,2)</f>
        <v>2430.23</v>
      </c>
      <c r="M50" s="21">
        <f t="shared" ref="M50:M51" si="31">TRUNC((1+$K50)*$F50*I50,2)</f>
        <v>648.42999999999995</v>
      </c>
      <c r="N50" s="21">
        <f t="shared" ref="N50:N51" si="32">IFERROR(L50+M50,0)</f>
        <v>3078.66</v>
      </c>
    </row>
    <row r="51" spans="2:14" x14ac:dyDescent="0.25">
      <c r="B51" s="7" t="s">
        <v>138</v>
      </c>
      <c r="C51" s="7" t="s">
        <v>54</v>
      </c>
      <c r="D51" s="7">
        <v>97113</v>
      </c>
      <c r="E51" s="18" t="s">
        <v>209</v>
      </c>
      <c r="F51" s="29">
        <v>144.19999999999999</v>
      </c>
      <c r="G51" s="7" t="s">
        <v>55</v>
      </c>
      <c r="H51" s="21">
        <v>3.15</v>
      </c>
      <c r="I51" s="21">
        <v>0.18</v>
      </c>
      <c r="J51" s="21">
        <f t="shared" si="29"/>
        <v>3.33</v>
      </c>
      <c r="K51" s="30">
        <v>0.22509999999999999</v>
      </c>
      <c r="L51" s="21">
        <f t="shared" si="30"/>
        <v>556.47</v>
      </c>
      <c r="M51" s="21">
        <f t="shared" si="31"/>
        <v>31.79</v>
      </c>
      <c r="N51" s="21">
        <f t="shared" si="32"/>
        <v>588.26</v>
      </c>
    </row>
    <row r="52" spans="2:14" x14ac:dyDescent="0.25">
      <c r="B52" s="48" t="s">
        <v>112</v>
      </c>
      <c r="C52" s="48"/>
      <c r="D52" s="48"/>
      <c r="E52" s="48"/>
      <c r="F52" s="48"/>
      <c r="G52" s="48"/>
      <c r="H52" s="48"/>
      <c r="I52" s="48"/>
      <c r="J52" s="48"/>
      <c r="K52" s="48"/>
      <c r="L52" s="31">
        <f>SUM(L50:L51)</f>
        <v>2986.7</v>
      </c>
      <c r="M52" s="31">
        <f t="shared" ref="M52:N52" si="33">SUM(M50:M51)</f>
        <v>680.21999999999991</v>
      </c>
      <c r="N52" s="31">
        <f t="shared" si="33"/>
        <v>3666.92</v>
      </c>
    </row>
    <row r="53" spans="2:14" ht="15" customHeight="1" x14ac:dyDescent="0.25">
      <c r="B53" s="28">
        <v>8</v>
      </c>
      <c r="C53" s="46" t="s">
        <v>113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7"/>
    </row>
    <row r="54" spans="2:14" x14ac:dyDescent="0.25">
      <c r="B54" s="7" t="s">
        <v>139</v>
      </c>
      <c r="C54" s="7" t="s">
        <v>54</v>
      </c>
      <c r="D54" s="7">
        <v>100717</v>
      </c>
      <c r="E54" s="18" t="s">
        <v>140</v>
      </c>
      <c r="F54" s="29">
        <v>4.5</v>
      </c>
      <c r="G54" s="7" t="s">
        <v>55</v>
      </c>
      <c r="H54" s="21">
        <v>3.28</v>
      </c>
      <c r="I54" s="21">
        <v>6.02</v>
      </c>
      <c r="J54" s="21">
        <f t="shared" ref="J54:J56" si="34">IFERROR(H54+I54,0)</f>
        <v>9.2999999999999989</v>
      </c>
      <c r="K54" s="30">
        <v>0.22509999999999999</v>
      </c>
      <c r="L54" s="21">
        <f t="shared" ref="L54:L56" si="35">TRUNC((1+$K54)*$F54*H54,2)</f>
        <v>18.079999999999998</v>
      </c>
      <c r="M54" s="21">
        <f t="shared" ref="M54:M56" si="36">TRUNC((1+$K54)*$F54*I54,2)</f>
        <v>33.18</v>
      </c>
      <c r="N54" s="21">
        <f t="shared" ref="N54:N56" si="37">IFERROR(L54+M54,0)</f>
        <v>51.26</v>
      </c>
    </row>
    <row r="55" spans="2:14" ht="38.25" x14ac:dyDescent="0.25">
      <c r="B55" s="7" t="s">
        <v>141</v>
      </c>
      <c r="C55" s="7" t="s">
        <v>54</v>
      </c>
      <c r="D55" s="7">
        <v>100722</v>
      </c>
      <c r="E55" s="18" t="s">
        <v>212</v>
      </c>
      <c r="F55" s="29">
        <v>4.5</v>
      </c>
      <c r="G55" s="7" t="s">
        <v>55</v>
      </c>
      <c r="H55" s="21">
        <v>9.4700000000000006</v>
      </c>
      <c r="I55" s="21">
        <v>13.68</v>
      </c>
      <c r="J55" s="21">
        <f t="shared" si="34"/>
        <v>23.15</v>
      </c>
      <c r="K55" s="30">
        <v>0.22509999999999999</v>
      </c>
      <c r="L55" s="21">
        <f t="shared" si="35"/>
        <v>52.2</v>
      </c>
      <c r="M55" s="21">
        <f t="shared" si="36"/>
        <v>75.41</v>
      </c>
      <c r="N55" s="21">
        <f t="shared" si="37"/>
        <v>127.61</v>
      </c>
    </row>
    <row r="56" spans="2:14" ht="38.25" x14ac:dyDescent="0.25">
      <c r="B56" s="7" t="s">
        <v>142</v>
      </c>
      <c r="C56" s="7" t="s">
        <v>54</v>
      </c>
      <c r="D56" s="7">
        <v>100742</v>
      </c>
      <c r="E56" s="18" t="s">
        <v>143</v>
      </c>
      <c r="F56" s="29">
        <v>4.5</v>
      </c>
      <c r="G56" s="7" t="s">
        <v>55</v>
      </c>
      <c r="H56" s="21">
        <v>10.02</v>
      </c>
      <c r="I56" s="21">
        <v>13.68</v>
      </c>
      <c r="J56" s="21">
        <f t="shared" si="34"/>
        <v>23.7</v>
      </c>
      <c r="K56" s="30">
        <v>0.22509999999999999</v>
      </c>
      <c r="L56" s="21">
        <f t="shared" si="35"/>
        <v>55.23</v>
      </c>
      <c r="M56" s="21">
        <f t="shared" si="36"/>
        <v>75.41</v>
      </c>
      <c r="N56" s="21">
        <f t="shared" si="37"/>
        <v>130.63999999999999</v>
      </c>
    </row>
    <row r="57" spans="2:14" x14ac:dyDescent="0.25">
      <c r="B57" s="48" t="s">
        <v>114</v>
      </c>
      <c r="C57" s="48"/>
      <c r="D57" s="48"/>
      <c r="E57" s="48"/>
      <c r="F57" s="48"/>
      <c r="G57" s="48"/>
      <c r="H57" s="48"/>
      <c r="I57" s="48"/>
      <c r="J57" s="48"/>
      <c r="K57" s="48"/>
      <c r="L57" s="31">
        <f>SUM(L54:L56)</f>
        <v>125.50999999999999</v>
      </c>
      <c r="M57" s="31">
        <f>SUM(M54:M56)</f>
        <v>184</v>
      </c>
      <c r="N57" s="31">
        <f>SUM(N54:N56)</f>
        <v>309.51</v>
      </c>
    </row>
    <row r="58" spans="2:14" ht="15" customHeight="1" x14ac:dyDescent="0.25">
      <c r="B58" s="28">
        <v>9</v>
      </c>
      <c r="C58" s="46" t="s">
        <v>115</v>
      </c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7"/>
    </row>
    <row r="59" spans="2:14" ht="38.25" x14ac:dyDescent="0.25">
      <c r="B59" s="7" t="s">
        <v>144</v>
      </c>
      <c r="C59" s="7" t="s">
        <v>54</v>
      </c>
      <c r="D59" s="7">
        <v>87767</v>
      </c>
      <c r="E59" s="18" t="s">
        <v>145</v>
      </c>
      <c r="F59" s="29">
        <v>144.19999999999999</v>
      </c>
      <c r="G59" s="7" t="s">
        <v>55</v>
      </c>
      <c r="H59" s="21">
        <v>34.049999999999997</v>
      </c>
      <c r="I59" s="21">
        <v>26.72</v>
      </c>
      <c r="J59" s="21">
        <f t="shared" ref="J59:J60" si="38">IFERROR(H59+I59,0)</f>
        <v>60.769999999999996</v>
      </c>
      <c r="K59" s="30">
        <v>0.22509999999999999</v>
      </c>
      <c r="L59" s="21">
        <f t="shared" ref="L59:L60" si="39">TRUNC((1+$K59)*$F59*H59,2)</f>
        <v>6015.25</v>
      </c>
      <c r="M59" s="21">
        <f t="shared" ref="M59:M60" si="40">TRUNC((1+$K59)*$F59*I59,2)</f>
        <v>4720.33</v>
      </c>
      <c r="N59" s="21">
        <f t="shared" ref="N59:N60" si="41">IFERROR(L59+M59,0)</f>
        <v>10735.58</v>
      </c>
    </row>
    <row r="60" spans="2:14" ht="25.5" x14ac:dyDescent="0.25">
      <c r="B60" s="7" t="s">
        <v>146</v>
      </c>
      <c r="C60" s="7" t="s">
        <v>54</v>
      </c>
      <c r="D60" s="7">
        <v>101749</v>
      </c>
      <c r="E60" s="18" t="s">
        <v>210</v>
      </c>
      <c r="F60" s="29">
        <v>144.19999999999999</v>
      </c>
      <c r="G60" s="7" t="s">
        <v>55</v>
      </c>
      <c r="H60" s="21">
        <f>0.06+36.46+0.05</f>
        <v>36.57</v>
      </c>
      <c r="I60" s="21">
        <v>15.31</v>
      </c>
      <c r="J60" s="21">
        <f t="shared" si="38"/>
        <v>51.88</v>
      </c>
      <c r="K60" s="30">
        <v>0.22509999999999999</v>
      </c>
      <c r="L60" s="21">
        <f t="shared" si="39"/>
        <v>6460.43</v>
      </c>
      <c r="M60" s="21">
        <f t="shared" si="40"/>
        <v>2704.65</v>
      </c>
      <c r="N60" s="21">
        <f t="shared" si="41"/>
        <v>9165.08</v>
      </c>
    </row>
    <row r="61" spans="2:14" x14ac:dyDescent="0.25">
      <c r="B61" s="48" t="s">
        <v>116</v>
      </c>
      <c r="C61" s="48"/>
      <c r="D61" s="48"/>
      <c r="E61" s="48"/>
      <c r="F61" s="48"/>
      <c r="G61" s="48"/>
      <c r="H61" s="48"/>
      <c r="I61" s="48"/>
      <c r="J61" s="48"/>
      <c r="K61" s="48"/>
      <c r="L61" s="31">
        <f>SUM(L59:L60)</f>
        <v>12475.68</v>
      </c>
      <c r="M61" s="31">
        <f t="shared" ref="M61:N61" si="42">SUM(M59:M60)</f>
        <v>7424.98</v>
      </c>
      <c r="N61" s="31">
        <f t="shared" si="42"/>
        <v>19900.66</v>
      </c>
    </row>
    <row r="62" spans="2:14" ht="15" customHeight="1" x14ac:dyDescent="0.25">
      <c r="B62" s="28">
        <v>10</v>
      </c>
      <c r="C62" s="46" t="s">
        <v>117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7"/>
    </row>
    <row r="63" spans="2:14" ht="38.25" x14ac:dyDescent="0.25">
      <c r="B63" s="7" t="s">
        <v>147</v>
      </c>
      <c r="C63" s="7" t="s">
        <v>54</v>
      </c>
      <c r="D63" s="7">
        <v>99253</v>
      </c>
      <c r="E63" s="18" t="s">
        <v>148</v>
      </c>
      <c r="F63" s="29">
        <v>4</v>
      </c>
      <c r="G63" s="7" t="s">
        <v>8</v>
      </c>
      <c r="H63" s="21">
        <f>1.98+293.5+0.37</f>
        <v>295.85000000000002</v>
      </c>
      <c r="I63" s="21">
        <v>237.26</v>
      </c>
      <c r="J63" s="21">
        <f t="shared" ref="J63:J65" si="43">IFERROR(H63+I63,0)</f>
        <v>533.11</v>
      </c>
      <c r="K63" s="30">
        <v>0.22509999999999999</v>
      </c>
      <c r="L63" s="21">
        <f t="shared" ref="L63:L65" si="44">TRUNC((1+$K63)*$F63*H63,2)</f>
        <v>1449.78</v>
      </c>
      <c r="M63" s="21">
        <f t="shared" ref="M63:M65" si="45">TRUNC((1+$K63)*$F63*I63,2)</f>
        <v>1162.6600000000001</v>
      </c>
      <c r="N63" s="21">
        <f t="shared" ref="N63:N65" si="46">IFERROR(L63+M63,0)</f>
        <v>2612.44</v>
      </c>
    </row>
    <row r="64" spans="2:14" ht="25.5" x14ac:dyDescent="0.25">
      <c r="B64" s="7" t="s">
        <v>149</v>
      </c>
      <c r="C64" s="7" t="s">
        <v>54</v>
      </c>
      <c r="D64" s="7">
        <v>89580</v>
      </c>
      <c r="E64" s="18" t="s">
        <v>150</v>
      </c>
      <c r="F64" s="29">
        <v>13.6</v>
      </c>
      <c r="G64" s="7" t="s">
        <v>56</v>
      </c>
      <c r="H64" s="21">
        <v>72.69</v>
      </c>
      <c r="I64" s="21">
        <v>5.43</v>
      </c>
      <c r="J64" s="21">
        <f t="shared" si="43"/>
        <v>78.12</v>
      </c>
      <c r="K64" s="30">
        <v>0.22509999999999999</v>
      </c>
      <c r="L64" s="21">
        <f t="shared" si="44"/>
        <v>1211.1099999999999</v>
      </c>
      <c r="M64" s="21">
        <f t="shared" si="45"/>
        <v>90.47</v>
      </c>
      <c r="N64" s="21">
        <f t="shared" si="46"/>
        <v>1301.58</v>
      </c>
    </row>
    <row r="65" spans="2:14" ht="25.5" x14ac:dyDescent="0.25">
      <c r="B65" s="7" t="s">
        <v>151</v>
      </c>
      <c r="C65" s="7" t="s">
        <v>54</v>
      </c>
      <c r="D65" s="7">
        <v>104166</v>
      </c>
      <c r="E65" s="18" t="s">
        <v>152</v>
      </c>
      <c r="F65" s="29">
        <v>33.85</v>
      </c>
      <c r="G65" s="7" t="s">
        <v>56</v>
      </c>
      <c r="H65" s="21">
        <v>73.7</v>
      </c>
      <c r="I65" s="21">
        <v>10.53</v>
      </c>
      <c r="J65" s="21">
        <f t="shared" si="43"/>
        <v>84.23</v>
      </c>
      <c r="K65" s="30">
        <v>0.22509999999999999</v>
      </c>
      <c r="L65" s="21">
        <f t="shared" si="44"/>
        <v>3056.31</v>
      </c>
      <c r="M65" s="21">
        <f t="shared" si="45"/>
        <v>436.67</v>
      </c>
      <c r="N65" s="21">
        <f t="shared" si="46"/>
        <v>3492.98</v>
      </c>
    </row>
    <row r="66" spans="2:14" x14ac:dyDescent="0.25">
      <c r="B66" s="48" t="s">
        <v>118</v>
      </c>
      <c r="C66" s="48"/>
      <c r="D66" s="48"/>
      <c r="E66" s="48"/>
      <c r="F66" s="48"/>
      <c r="G66" s="48"/>
      <c r="H66" s="48"/>
      <c r="I66" s="48"/>
      <c r="J66" s="48"/>
      <c r="K66" s="48"/>
      <c r="L66" s="31">
        <f>SUM(L63:L65)</f>
        <v>5717.2</v>
      </c>
      <c r="M66" s="31">
        <f t="shared" ref="M66:N66" si="47">SUM(M63:M65)</f>
        <v>1689.8000000000002</v>
      </c>
      <c r="N66" s="31">
        <f t="shared" si="47"/>
        <v>7407</v>
      </c>
    </row>
    <row r="67" spans="2:14" ht="15" customHeight="1" x14ac:dyDescent="0.25">
      <c r="B67" s="28">
        <v>11</v>
      </c>
      <c r="C67" s="46" t="s">
        <v>119</v>
      </c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7"/>
    </row>
    <row r="68" spans="2:14" ht="38.25" x14ac:dyDescent="0.25">
      <c r="B68" s="7" t="s">
        <v>153</v>
      </c>
      <c r="C68" s="7" t="s">
        <v>54</v>
      </c>
      <c r="D68" s="7">
        <v>100981</v>
      </c>
      <c r="E68" s="18" t="s">
        <v>154</v>
      </c>
      <c r="F68" s="29">
        <v>0.9</v>
      </c>
      <c r="G68" s="7" t="s">
        <v>73</v>
      </c>
      <c r="H68" s="21">
        <f>4.79+2.77</f>
        <v>7.5600000000000005</v>
      </c>
      <c r="I68" s="21">
        <v>1.91</v>
      </c>
      <c r="J68" s="21">
        <f t="shared" ref="J68:J70" si="48">IFERROR(H68+I68,0)</f>
        <v>9.4700000000000006</v>
      </c>
      <c r="K68" s="30">
        <v>0.22509999999999999</v>
      </c>
      <c r="L68" s="21">
        <f t="shared" ref="L68:L70" si="49">TRUNC((1+$K68)*$F68*H68,2)</f>
        <v>8.33</v>
      </c>
      <c r="M68" s="21">
        <f t="shared" ref="M68:M70" si="50">TRUNC((1+$K68)*$F68*I68,2)</f>
        <v>2.1</v>
      </c>
      <c r="N68" s="21">
        <f t="shared" ref="N68:N70" si="51">IFERROR(L68+M68,0)</f>
        <v>10.43</v>
      </c>
    </row>
    <row r="69" spans="2:14" ht="25.5" x14ac:dyDescent="0.25">
      <c r="B69" s="7" t="s">
        <v>155</v>
      </c>
      <c r="C69" s="7" t="s">
        <v>54</v>
      </c>
      <c r="D69" s="7">
        <v>95875</v>
      </c>
      <c r="E69" s="18" t="s">
        <v>156</v>
      </c>
      <c r="F69" s="29">
        <v>4.51</v>
      </c>
      <c r="G69" s="7" t="s">
        <v>157</v>
      </c>
      <c r="H69" s="21">
        <f>0.95+1.16</f>
        <v>2.11</v>
      </c>
      <c r="I69" s="21">
        <v>0.31</v>
      </c>
      <c r="J69" s="21">
        <f t="shared" si="48"/>
        <v>2.42</v>
      </c>
      <c r="K69" s="30">
        <v>0.22509999999999999</v>
      </c>
      <c r="L69" s="21">
        <f t="shared" si="49"/>
        <v>11.65</v>
      </c>
      <c r="M69" s="21">
        <f t="shared" si="50"/>
        <v>1.71</v>
      </c>
      <c r="N69" s="21">
        <f t="shared" si="51"/>
        <v>13.36</v>
      </c>
    </row>
    <row r="70" spans="2:14" x14ac:dyDescent="0.25">
      <c r="B70" s="7" t="s">
        <v>158</v>
      </c>
      <c r="C70" s="7" t="s">
        <v>54</v>
      </c>
      <c r="D70" s="7">
        <v>99811</v>
      </c>
      <c r="E70" s="18" t="s">
        <v>159</v>
      </c>
      <c r="F70" s="29">
        <v>144.19999999999999</v>
      </c>
      <c r="G70" s="7" t="s">
        <v>55</v>
      </c>
      <c r="H70" s="21">
        <v>0.85</v>
      </c>
      <c r="I70" s="21">
        <v>2.66</v>
      </c>
      <c r="J70" s="21">
        <f t="shared" si="48"/>
        <v>3.5100000000000002</v>
      </c>
      <c r="K70" s="30">
        <v>0.22509999999999999</v>
      </c>
      <c r="L70" s="21">
        <f t="shared" si="49"/>
        <v>150.16</v>
      </c>
      <c r="M70" s="21">
        <f t="shared" si="50"/>
        <v>469.91</v>
      </c>
      <c r="N70" s="21">
        <f t="shared" si="51"/>
        <v>620.07000000000005</v>
      </c>
    </row>
    <row r="71" spans="2:14" x14ac:dyDescent="0.25">
      <c r="B71" s="48" t="s">
        <v>120</v>
      </c>
      <c r="C71" s="48"/>
      <c r="D71" s="48"/>
      <c r="E71" s="48"/>
      <c r="F71" s="48"/>
      <c r="G71" s="48"/>
      <c r="H71" s="48"/>
      <c r="I71" s="48"/>
      <c r="J71" s="48"/>
      <c r="K71" s="48"/>
      <c r="L71" s="31">
        <f>SUM(L68:L70)</f>
        <v>170.14</v>
      </c>
      <c r="M71" s="31">
        <f t="shared" ref="M71" si="52">SUM(M68:M70)</f>
        <v>473.72</v>
      </c>
      <c r="N71" s="31">
        <f t="shared" ref="N71" si="53">SUM(N68:N70)</f>
        <v>643.86</v>
      </c>
    </row>
    <row r="72" spans="2:14" ht="24.95" customHeight="1" x14ac:dyDescent="0.25">
      <c r="B72" s="49" t="s">
        <v>121</v>
      </c>
      <c r="C72" s="50"/>
      <c r="D72" s="50"/>
      <c r="E72" s="50"/>
      <c r="F72" s="50"/>
      <c r="G72" s="50"/>
      <c r="H72" s="50"/>
      <c r="I72" s="50"/>
      <c r="J72" s="50"/>
      <c r="K72" s="50"/>
      <c r="L72" s="32">
        <f>L12+L16+L21+L35+L41+L48+L52+L57+L61+L66+L71</f>
        <v>109918.82</v>
      </c>
      <c r="M72" s="32">
        <f>M12+M16+M21+M35+M41+M48+M52+M57+M61+M66+M71</f>
        <v>45072.19</v>
      </c>
      <c r="N72" s="32">
        <f>N12+N16+N21+N35+N41+N48+N52+N57+N61+N66+N71</f>
        <v>154991.00999999998</v>
      </c>
    </row>
    <row r="74" spans="2:14" ht="15.75" x14ac:dyDescent="0.25">
      <c r="B74" s="33" t="s">
        <v>122</v>
      </c>
    </row>
    <row r="75" spans="2:14" ht="15.75" x14ac:dyDescent="0.25">
      <c r="B75" s="34" t="s">
        <v>207</v>
      </c>
      <c r="L75" s="35" t="s">
        <v>125</v>
      </c>
      <c r="M75" s="45">
        <f ca="1">TODAY()</f>
        <v>45161</v>
      </c>
      <c r="N75" s="45"/>
    </row>
    <row r="76" spans="2:14" ht="15.75" x14ac:dyDescent="0.25">
      <c r="B76" s="34" t="s">
        <v>206</v>
      </c>
    </row>
    <row r="77" spans="2:14" ht="15.75" x14ac:dyDescent="0.25">
      <c r="B77" s="34" t="s">
        <v>211</v>
      </c>
    </row>
    <row r="78" spans="2:14" ht="15.75" x14ac:dyDescent="0.25">
      <c r="B78" s="34" t="s">
        <v>124</v>
      </c>
    </row>
  </sheetData>
  <mergeCells count="38">
    <mergeCell ref="B12:K12"/>
    <mergeCell ref="B2:N2"/>
    <mergeCell ref="B3:N3"/>
    <mergeCell ref="B4:N4"/>
    <mergeCell ref="B5:N5"/>
    <mergeCell ref="B6:N6"/>
    <mergeCell ref="B7:B8"/>
    <mergeCell ref="C7:C8"/>
    <mergeCell ref="D7:D8"/>
    <mergeCell ref="E7:E8"/>
    <mergeCell ref="F7:F8"/>
    <mergeCell ref="G7:G8"/>
    <mergeCell ref="H7:J7"/>
    <mergeCell ref="L7:N7"/>
    <mergeCell ref="K7:K8"/>
    <mergeCell ref="C9:N9"/>
    <mergeCell ref="C13:N13"/>
    <mergeCell ref="B16:K16"/>
    <mergeCell ref="B21:K21"/>
    <mergeCell ref="B35:K35"/>
    <mergeCell ref="C17:N17"/>
    <mergeCell ref="C22:N22"/>
    <mergeCell ref="C36:N36"/>
    <mergeCell ref="B41:K41"/>
    <mergeCell ref="C42:N42"/>
    <mergeCell ref="B48:K48"/>
    <mergeCell ref="C49:N49"/>
    <mergeCell ref="B52:K52"/>
    <mergeCell ref="C53:N53"/>
    <mergeCell ref="B57:K57"/>
    <mergeCell ref="C58:N58"/>
    <mergeCell ref="B61:K61"/>
    <mergeCell ref="M75:N75"/>
    <mergeCell ref="C62:N62"/>
    <mergeCell ref="B66:K66"/>
    <mergeCell ref="C67:N67"/>
    <mergeCell ref="B71:K71"/>
    <mergeCell ref="B72:K72"/>
  </mergeCells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62"/>
  <sheetViews>
    <sheetView showGridLines="0" view="pageBreakPreview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10.7109375" style="2" customWidth="1"/>
    <col min="3" max="3" width="36.5703125" style="2" customWidth="1"/>
    <col min="4" max="4" width="13.7109375" style="2" customWidth="1"/>
    <col min="5" max="5" width="42.85546875" style="2" customWidth="1"/>
    <col min="6" max="6" width="9" style="2" customWidth="1"/>
    <col min="7" max="7" width="18.28515625" style="2" customWidth="1"/>
    <col min="8" max="8" width="13.7109375" style="2" customWidth="1"/>
    <col min="9" max="9" width="18.42578125" style="2" customWidth="1"/>
    <col min="10" max="10" width="13.7109375" style="2" customWidth="1"/>
    <col min="11" max="11" width="42.85546875" style="2" customWidth="1"/>
    <col min="12" max="12" width="9" style="2" customWidth="1"/>
    <col min="13" max="13" width="18.42578125" style="2" customWidth="1"/>
    <col min="14" max="14" width="13.7109375" style="2" customWidth="1"/>
    <col min="15" max="16" width="18.28515625" style="2" customWidth="1"/>
    <col min="17" max="17" width="9" style="2" customWidth="1"/>
    <col min="18" max="16384" width="9.140625" style="2"/>
  </cols>
  <sheetData>
    <row r="1" spans="2:17" x14ac:dyDescent="0.2">
      <c r="Q1" s="1"/>
    </row>
    <row r="2" spans="2:17" ht="21" customHeight="1" x14ac:dyDescent="0.2">
      <c r="B2" s="55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"/>
    </row>
    <row r="3" spans="2:17" ht="21" customHeight="1" x14ac:dyDescent="0.2">
      <c r="B3" s="55" t="s">
        <v>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1"/>
    </row>
    <row r="4" spans="2:17" ht="21" customHeight="1" x14ac:dyDescent="0.2">
      <c r="B4" s="55" t="s">
        <v>15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1"/>
    </row>
    <row r="5" spans="2:17" ht="21" customHeight="1" x14ac:dyDescent="0.2">
      <c r="B5" s="55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1"/>
    </row>
    <row r="6" spans="2:17" ht="21" customHeight="1" x14ac:dyDescent="0.2">
      <c r="B6" s="60" t="s">
        <v>34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1"/>
    </row>
    <row r="7" spans="2:17" ht="15" customHeight="1" x14ac:dyDescent="0.2">
      <c r="B7" s="63" t="s">
        <v>23</v>
      </c>
      <c r="C7" s="63"/>
      <c r="D7" s="63"/>
      <c r="E7" s="63" t="s">
        <v>38</v>
      </c>
      <c r="F7" s="63"/>
      <c r="G7" s="63"/>
      <c r="H7" s="63"/>
      <c r="I7" s="63"/>
      <c r="J7" s="63" t="s">
        <v>39</v>
      </c>
      <c r="K7" s="63"/>
      <c r="L7" s="63"/>
      <c r="M7" s="63"/>
      <c r="N7" s="63"/>
      <c r="O7" s="63"/>
      <c r="P7" s="63" t="s">
        <v>33</v>
      </c>
      <c r="Q7" s="1"/>
    </row>
    <row r="8" spans="2:17" x14ac:dyDescent="0.2">
      <c r="B8" s="24" t="s">
        <v>18</v>
      </c>
      <c r="C8" s="24" t="s">
        <v>19</v>
      </c>
      <c r="D8" s="24" t="s">
        <v>24</v>
      </c>
      <c r="E8" s="24" t="s">
        <v>25</v>
      </c>
      <c r="F8" s="24" t="s">
        <v>8</v>
      </c>
      <c r="G8" s="24" t="s">
        <v>26</v>
      </c>
      <c r="H8" s="24" t="s">
        <v>27</v>
      </c>
      <c r="I8" s="24" t="s">
        <v>28</v>
      </c>
      <c r="J8" s="24" t="s">
        <v>29</v>
      </c>
      <c r="K8" s="24" t="s">
        <v>30</v>
      </c>
      <c r="L8" s="24" t="s">
        <v>8</v>
      </c>
      <c r="M8" s="24" t="s">
        <v>31</v>
      </c>
      <c r="N8" s="24" t="s">
        <v>27</v>
      </c>
      <c r="O8" s="24" t="s">
        <v>32</v>
      </c>
      <c r="P8" s="63"/>
      <c r="Q8" s="1"/>
    </row>
    <row r="9" spans="2:17" x14ac:dyDescent="0.2">
      <c r="B9" s="17">
        <v>1</v>
      </c>
      <c r="C9" s="36" t="s">
        <v>81</v>
      </c>
      <c r="D9" s="17" t="s">
        <v>56</v>
      </c>
      <c r="E9" s="17"/>
      <c r="F9" s="17"/>
      <c r="G9" s="17"/>
      <c r="H9" s="17"/>
      <c r="I9" s="26">
        <f>ROUND(SUM(I10:I15),2)</f>
        <v>0</v>
      </c>
      <c r="J9" s="17"/>
      <c r="K9" s="17"/>
      <c r="L9" s="17"/>
      <c r="M9" s="17"/>
      <c r="N9" s="17"/>
      <c r="O9" s="27">
        <f>ROUND(SUM(O10:O15),2)</f>
        <v>11.73</v>
      </c>
      <c r="P9" s="26">
        <f>ROUND(SUM(I9,O9),2)</f>
        <v>11.73</v>
      </c>
      <c r="Q9" s="25">
        <f>B9</f>
        <v>1</v>
      </c>
    </row>
    <row r="10" spans="2:17" ht="25.5" x14ac:dyDescent="0.2">
      <c r="B10" s="62" t="s">
        <v>35</v>
      </c>
      <c r="C10" s="20"/>
      <c r="D10" s="7" t="str">
        <f>IFERROR(VLOOKUP($E10,Insumos_MAT!$C$8:G4998,5,0),"")</f>
        <v/>
      </c>
      <c r="E10" s="18"/>
      <c r="F10" s="7" t="str">
        <f>IFERROR(VLOOKUP($E10,Insumos_MAT!$C$8:G4998,2,0),"")</f>
        <v/>
      </c>
      <c r="G10" s="21">
        <f>IFERROR(VLOOKUP($E10,Insumos_MAT!$C$8:G4998,3,0),0)</f>
        <v>0</v>
      </c>
      <c r="H10" s="22"/>
      <c r="I10" s="21">
        <f>IFERROR(G10*H10,0)</f>
        <v>0</v>
      </c>
      <c r="J10" s="7">
        <f>IFERROR(VLOOKUP($K10,Insumos_MO!$C$8:G4996,5,0),"")</f>
        <v>88267</v>
      </c>
      <c r="K10" s="18" t="s">
        <v>77</v>
      </c>
      <c r="L10" s="7" t="str">
        <f>IFERROR(VLOOKUP($K10,Insumos_MO!$C$8:G4996,2,0),"")</f>
        <v>H</v>
      </c>
      <c r="M10" s="21">
        <f>IFERROR(VLOOKUP($K10,Insumos_MO!$C$8:G4996,3,0),"")</f>
        <v>27.39</v>
      </c>
      <c r="N10" s="22">
        <v>0.104</v>
      </c>
      <c r="O10" s="23">
        <f>IFERROR(M10*N10,0)</f>
        <v>2.84856</v>
      </c>
      <c r="P10" s="7"/>
      <c r="Q10" s="1"/>
    </row>
    <row r="11" spans="2:17" x14ac:dyDescent="0.25">
      <c r="B11" s="62"/>
      <c r="C11" s="20"/>
      <c r="D11" s="7" t="str">
        <f>IFERROR(VLOOKUP($E11,Insumos_MAT!$C$8:G4999,5,0),"")</f>
        <v/>
      </c>
      <c r="E11" s="18"/>
      <c r="F11" s="7" t="str">
        <f>IFERROR(VLOOKUP($E11,Insumos_MAT!$C$8:G4999,2,0),"")</f>
        <v/>
      </c>
      <c r="G11" s="21">
        <f>IFERROR(VLOOKUP($E11,Insumos_MAT!$C$8:G4999,3,0),0)</f>
        <v>0</v>
      </c>
      <c r="H11" s="22"/>
      <c r="I11" s="21">
        <f t="shared" ref="I11:I14" si="0">IFERROR(G11*H11,0)</f>
        <v>0</v>
      </c>
      <c r="J11" s="7">
        <f>IFERROR(VLOOKUP($K11,Insumos_MO!$C$8:G4997,5,0),"")</f>
        <v>88316</v>
      </c>
      <c r="K11" s="18" t="s">
        <v>80</v>
      </c>
      <c r="L11" s="7" t="str">
        <f>IFERROR(VLOOKUP($K11,Insumos_MO!$C$8:G4997,2,0),"")</f>
        <v>H</v>
      </c>
      <c r="M11" s="21">
        <f>IFERROR(VLOOKUP($K11,Insumos_MO!$C$8:G4997,3,0),"")</f>
        <v>21.3</v>
      </c>
      <c r="N11" s="22">
        <v>0.41699999999999998</v>
      </c>
      <c r="O11" s="23">
        <f t="shared" ref="O11:O14" si="1">IFERROR(M11*N11,0)</f>
        <v>8.8820999999999994</v>
      </c>
      <c r="P11" s="7"/>
    </row>
    <row r="12" spans="2:17" x14ac:dyDescent="0.25">
      <c r="B12" s="62"/>
      <c r="C12" s="20"/>
      <c r="D12" s="7" t="str">
        <f>IFERROR(VLOOKUP($E12,Insumos_MAT!$C$8:G5000,5,0),"")</f>
        <v/>
      </c>
      <c r="E12" s="18"/>
      <c r="F12" s="7" t="str">
        <f>IFERROR(VLOOKUP($E12,Insumos_MAT!$C$8:G5000,2,0),"")</f>
        <v/>
      </c>
      <c r="G12" s="21">
        <f>IFERROR(VLOOKUP($E12,Insumos_MAT!$C$8:G5000,3,0),0)</f>
        <v>0</v>
      </c>
      <c r="H12" s="22"/>
      <c r="I12" s="21">
        <f t="shared" si="0"/>
        <v>0</v>
      </c>
      <c r="J12" s="7" t="str">
        <f>IFERROR(VLOOKUP($K12,Insumos_MO!$C$8:G4998,5,0),"")</f>
        <v/>
      </c>
      <c r="K12" s="18"/>
      <c r="L12" s="7" t="str">
        <f>IFERROR(VLOOKUP($K12,Insumos_MO!$C$8:G4998,2,0),"")</f>
        <v/>
      </c>
      <c r="M12" s="21" t="str">
        <f>IFERROR(VLOOKUP($K12,Insumos_MO!$C$8:G4998,3,0),"")</f>
        <v/>
      </c>
      <c r="N12" s="22"/>
      <c r="O12" s="23">
        <f t="shared" si="1"/>
        <v>0</v>
      </c>
      <c r="P12" s="7"/>
    </row>
    <row r="13" spans="2:17" x14ac:dyDescent="0.25">
      <c r="B13" s="62"/>
      <c r="C13" s="20"/>
      <c r="D13" s="7" t="str">
        <f>IFERROR(VLOOKUP($E13,Insumos_MAT!$C$8:G5001,5,0),"")</f>
        <v/>
      </c>
      <c r="E13" s="18"/>
      <c r="F13" s="7" t="str">
        <f>IFERROR(VLOOKUP($E13,Insumos_MAT!$C$8:G5001,2,0),"")</f>
        <v/>
      </c>
      <c r="G13" s="21">
        <f>IFERROR(VLOOKUP($E13,Insumos_MAT!$C$8:G5001,3,0),0)</f>
        <v>0</v>
      </c>
      <c r="H13" s="22"/>
      <c r="I13" s="21">
        <f t="shared" si="0"/>
        <v>0</v>
      </c>
      <c r="J13" s="7" t="str">
        <f>IFERROR(VLOOKUP($K13,Insumos_MO!$C$8:G4999,5,0),"")</f>
        <v/>
      </c>
      <c r="K13" s="18"/>
      <c r="L13" s="7" t="str">
        <f>IFERROR(VLOOKUP($K13,Insumos_MO!$C$8:G4999,2,0),"")</f>
        <v/>
      </c>
      <c r="M13" s="21" t="str">
        <f>IFERROR(VLOOKUP($K13,Insumos_MO!$C$8:G4999,3,0),"")</f>
        <v/>
      </c>
      <c r="N13" s="22"/>
      <c r="O13" s="23">
        <f t="shared" si="1"/>
        <v>0</v>
      </c>
      <c r="P13" s="7"/>
    </row>
    <row r="14" spans="2:17" x14ac:dyDescent="0.25">
      <c r="B14" s="62"/>
      <c r="C14" s="20"/>
      <c r="D14" s="7" t="str">
        <f>IFERROR(VLOOKUP($E14,Insumos_MAT!$C$8:G5002,5,0),"")</f>
        <v/>
      </c>
      <c r="E14" s="18"/>
      <c r="F14" s="7" t="str">
        <f>IFERROR(VLOOKUP($E14,Insumos_MAT!$C$8:G5002,2,0),"")</f>
        <v/>
      </c>
      <c r="G14" s="21">
        <f>IFERROR(VLOOKUP($E14,Insumos_MAT!$C$8:G5002,3,0),0)</f>
        <v>0</v>
      </c>
      <c r="H14" s="22"/>
      <c r="I14" s="21">
        <f t="shared" si="0"/>
        <v>0</v>
      </c>
      <c r="J14" s="7" t="str">
        <f>IFERROR(VLOOKUP($K14,Insumos_MO!$C$8:G5000,5,0),"")</f>
        <v/>
      </c>
      <c r="K14" s="18"/>
      <c r="L14" s="7" t="str">
        <f>IFERROR(VLOOKUP($K14,Insumos_MO!$C$8:G5000,2,0),"")</f>
        <v/>
      </c>
      <c r="M14" s="21" t="str">
        <f>IFERROR(VLOOKUP($K14,Insumos_MO!$C$8:G5000,3,0),"")</f>
        <v/>
      </c>
      <c r="N14" s="22"/>
      <c r="O14" s="23">
        <f t="shared" si="1"/>
        <v>0</v>
      </c>
      <c r="P14" s="7"/>
    </row>
    <row r="15" spans="2:17" x14ac:dyDescent="0.25">
      <c r="B15" s="62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</row>
    <row r="16" spans="2:17" ht="51" x14ac:dyDescent="0.2">
      <c r="B16" s="17">
        <v>2</v>
      </c>
      <c r="C16" s="36" t="s">
        <v>187</v>
      </c>
      <c r="D16" s="17" t="s">
        <v>8</v>
      </c>
      <c r="E16" s="17"/>
      <c r="F16" s="17"/>
      <c r="G16" s="17"/>
      <c r="H16" s="17"/>
      <c r="I16" s="26">
        <f>ROUND(SUM(I17:I27),2)</f>
        <v>1625.32</v>
      </c>
      <c r="J16" s="17"/>
      <c r="K16" s="17"/>
      <c r="L16" s="17"/>
      <c r="M16" s="17"/>
      <c r="N16" s="17"/>
      <c r="O16" s="27">
        <f>ROUND(SUM(O17:O27),2)</f>
        <v>722.17</v>
      </c>
      <c r="P16" s="26">
        <f>ROUND(SUM(I16,O16),2)</f>
        <v>2347.4899999999998</v>
      </c>
      <c r="Q16" s="25">
        <f>B16</f>
        <v>2</v>
      </c>
    </row>
    <row r="17" spans="2:17" ht="25.5" x14ac:dyDescent="0.2">
      <c r="B17" s="62" t="s">
        <v>36</v>
      </c>
      <c r="C17" s="20" t="s">
        <v>176</v>
      </c>
      <c r="D17" s="7">
        <f>IFERROR(VLOOKUP($E17,Insumos_MAT!$C$8:G5005,5,0),"")</f>
        <v>43692</v>
      </c>
      <c r="E17" s="18" t="s">
        <v>162</v>
      </c>
      <c r="F17" s="7" t="str">
        <f>IFERROR(VLOOKUP($E17,Insumos_MAT!$C$8:G5005,2,0),"")</f>
        <v>KG</v>
      </c>
      <c r="G17" s="21">
        <f>IFERROR(VLOOKUP($E17,Insumos_MAT!$C$8:G5005,3,0),0)</f>
        <v>13.3</v>
      </c>
      <c r="H17" s="22">
        <f>4*2*4.47</f>
        <v>35.76</v>
      </c>
      <c r="I17" s="21">
        <f>IFERROR(G17*H17,0)</f>
        <v>475.608</v>
      </c>
      <c r="J17" s="7">
        <f>IFERROR(VLOOKUP($K17,Insumos_MO!$C$8:G5003,5,0),"")</f>
        <v>88315</v>
      </c>
      <c r="K17" s="18" t="s">
        <v>173</v>
      </c>
      <c r="L17" s="7" t="str">
        <f>IFERROR(VLOOKUP($K17,Insumos_MO!$C$8:G5003,2,0),"")</f>
        <v>H</v>
      </c>
      <c r="M17" s="21">
        <f>IFERROR(VLOOKUP($K17,Insumos_MO!$C$8:G5003,3,0),"")</f>
        <v>25.61</v>
      </c>
      <c r="N17" s="22">
        <f>0.53*4</f>
        <v>2.12</v>
      </c>
      <c r="O17" s="23">
        <f>IFERROR(M17*N17,0)</f>
        <v>54.293199999999999</v>
      </c>
      <c r="P17" s="7"/>
      <c r="Q17" s="1"/>
    </row>
    <row r="18" spans="2:17" x14ac:dyDescent="0.25">
      <c r="B18" s="62"/>
      <c r="C18" s="20" t="s">
        <v>177</v>
      </c>
      <c r="D18" s="7">
        <f>IFERROR(VLOOKUP($E18,Insumos_MAT!$C$8:G5006,5,0),"")</f>
        <v>591</v>
      </c>
      <c r="E18" s="18" t="s">
        <v>163</v>
      </c>
      <c r="F18" s="7" t="str">
        <f>IFERROR(VLOOKUP($E18,Insumos_MAT!$C$8:G5006,2,0),"")</f>
        <v>KG</v>
      </c>
      <c r="G18" s="21">
        <f>IFERROR(VLOOKUP($E18,Insumos_MAT!$C$8:G5006,3,0),0)</f>
        <v>42.72</v>
      </c>
      <c r="H18" s="22">
        <f>(((0.3*10)+(0.45*9))*2)*(6.88/6)</f>
        <v>16.167999999999999</v>
      </c>
      <c r="I18" s="21">
        <f t="shared" ref="I18:I24" si="2">IFERROR(G18*H18,0)</f>
        <v>690.69695999999999</v>
      </c>
      <c r="J18" s="7">
        <f>IFERROR(VLOOKUP($K18,Insumos_MO!$C$8:G5004,5,0),"")</f>
        <v>88317</v>
      </c>
      <c r="K18" s="18" t="s">
        <v>174</v>
      </c>
      <c r="L18" s="7" t="str">
        <f>IFERROR(VLOOKUP($K18,Insumos_MO!$C$8:G5004,2,0),"")</f>
        <v>H</v>
      </c>
      <c r="M18" s="21">
        <f>IFERROR(VLOOKUP($K18,Insumos_MO!$C$8:G5004,3,0),"")</f>
        <v>34.26</v>
      </c>
      <c r="N18" s="22">
        <f>1.26*4</f>
        <v>5.04</v>
      </c>
      <c r="O18" s="23">
        <f t="shared" ref="O18:O24" si="3">IFERROR(M18*N18,0)</f>
        <v>172.6704</v>
      </c>
      <c r="P18" s="7"/>
    </row>
    <row r="19" spans="2:17" ht="25.5" x14ac:dyDescent="0.25">
      <c r="B19" s="62"/>
      <c r="C19" s="20" t="s">
        <v>182</v>
      </c>
      <c r="D19" s="7">
        <f>IFERROR(VLOOKUP($E19,Insumos_MAT!$C$8:G5007,5,0),"")</f>
        <v>10997</v>
      </c>
      <c r="E19" s="18" t="s">
        <v>160</v>
      </c>
      <c r="F19" s="7" t="str">
        <f>IFERROR(VLOOKUP($E19,Insumos_MAT!$C$8:G5007,2,0),"")</f>
        <v>KG</v>
      </c>
      <c r="G19" s="21">
        <f>IFERROR(VLOOKUP($E19,Insumos_MAT!$C$8:G5007,3,0),0)</f>
        <v>53.2</v>
      </c>
      <c r="H19" s="22">
        <v>0.18720000000000001</v>
      </c>
      <c r="I19" s="21">
        <f t="shared" si="2"/>
        <v>9.9590400000000017</v>
      </c>
      <c r="J19" s="7">
        <f>IFERROR(VLOOKUP($K19,Insumos_MO!$C$8:G5005,5,0),"")</f>
        <v>88316</v>
      </c>
      <c r="K19" s="18" t="s">
        <v>80</v>
      </c>
      <c r="L19" s="7" t="str">
        <f>IFERROR(VLOOKUP($K19,Insumos_MO!$C$8:G5005,2,0),"")</f>
        <v>H</v>
      </c>
      <c r="M19" s="21">
        <f>IFERROR(VLOOKUP($K19,Insumos_MO!$C$8:G5005,3,0),"")</f>
        <v>21.3</v>
      </c>
      <c r="N19" s="22">
        <f>(2*4)+(1.44*2)</f>
        <v>10.879999999999999</v>
      </c>
      <c r="O19" s="23">
        <f t="shared" si="3"/>
        <v>231.744</v>
      </c>
      <c r="P19" s="7"/>
    </row>
    <row r="20" spans="2:17" ht="25.5" x14ac:dyDescent="0.25">
      <c r="B20" s="62"/>
      <c r="C20" s="20"/>
      <c r="D20" s="7">
        <f>IFERROR(VLOOKUP($E20,Insumos_MAT!$C$8:G5008,5,0),"")</f>
        <v>10957</v>
      </c>
      <c r="E20" s="18" t="s">
        <v>161</v>
      </c>
      <c r="F20" s="7" t="str">
        <f>IFERROR(VLOOKUP($E20,Insumos_MAT!$C$8:G5008,2,0),"")</f>
        <v>KG</v>
      </c>
      <c r="G20" s="21">
        <f>IFERROR(VLOOKUP($E20,Insumos_MAT!$C$8:G5008,3,0),0)</f>
        <v>11.58</v>
      </c>
      <c r="H20" s="22">
        <f>((0.15*0.6)+(0.15*0.4))*149.39</f>
        <v>22.408499999999997</v>
      </c>
      <c r="I20" s="21">
        <f t="shared" si="2"/>
        <v>259.49042999999995</v>
      </c>
      <c r="J20" s="7">
        <f>IFERROR(VLOOKUP($K20,Insumos_MO!$C$8:G5006,5,0),"")</f>
        <v>88278</v>
      </c>
      <c r="K20" s="18" t="s">
        <v>175</v>
      </c>
      <c r="L20" s="7" t="str">
        <f>IFERROR(VLOOKUP($K20,Insumos_MO!$C$8:G5006,2,0),"")</f>
        <v>H</v>
      </c>
      <c r="M20" s="21">
        <f>IFERROR(VLOOKUP($K20,Insumos_MO!$C$8:G5006,3,0),"")</f>
        <v>25.67</v>
      </c>
      <c r="N20" s="22">
        <f>2.553*2</f>
        <v>5.1059999999999999</v>
      </c>
      <c r="O20" s="23">
        <f t="shared" si="3"/>
        <v>131.07102</v>
      </c>
      <c r="P20" s="7"/>
    </row>
    <row r="21" spans="2:17" ht="38.25" x14ac:dyDescent="0.25">
      <c r="B21" s="62"/>
      <c r="C21" s="20"/>
      <c r="D21" s="7">
        <f>IFERROR(VLOOKUP($E21,Insumos_MAT!$C$8:G5009,5,0),"")</f>
        <v>93287</v>
      </c>
      <c r="E21" s="18" t="s">
        <v>166</v>
      </c>
      <c r="F21" s="7" t="str">
        <f>IFERROR(VLOOKUP($E21,Insumos_MAT!$C$8:G5009,2,0),"")</f>
        <v>CHP</v>
      </c>
      <c r="G21" s="21">
        <f>IFERROR(VLOOKUP($E21,Insumos_MAT!$C$8:G5009,3,0),0)</f>
        <v>320.27999999999997</v>
      </c>
      <c r="H21" s="22">
        <v>0.1133</v>
      </c>
      <c r="I21" s="21">
        <f t="shared" ref="I21:I22" si="4">IFERROR(G21*H21,0)</f>
        <v>36.287723999999997</v>
      </c>
      <c r="J21" s="7">
        <f>IFERROR(VLOOKUP($K21,Insumos_MO!$C$8:G5007,5,0),"")</f>
        <v>88310</v>
      </c>
      <c r="K21" s="18" t="s">
        <v>178</v>
      </c>
      <c r="L21" s="7" t="str">
        <f>IFERROR(VLOOKUP($K21,Insumos_MO!$C$8:G5007,2,0),"")</f>
        <v>H</v>
      </c>
      <c r="M21" s="21">
        <f>IFERROR(VLOOKUP($K21,Insumos_MO!$C$8:G5007,3,0),"")</f>
        <v>27.02</v>
      </c>
      <c r="N21" s="22">
        <f>1.9*4*(0.2149+0.2149*2)</f>
        <v>4.8997200000000003</v>
      </c>
      <c r="O21" s="23">
        <f t="shared" ref="O21:O22" si="5">IFERROR(M21*N21,0)</f>
        <v>132.3904344</v>
      </c>
      <c r="P21" s="7"/>
    </row>
    <row r="22" spans="2:17" ht="38.25" x14ac:dyDescent="0.25">
      <c r="B22" s="62"/>
      <c r="C22" s="20"/>
      <c r="D22" s="7">
        <f>IFERROR(VLOOKUP($E22,Insumos_MAT!$C$8:G5010,5,0),"")</f>
        <v>93288</v>
      </c>
      <c r="E22" s="18" t="s">
        <v>167</v>
      </c>
      <c r="F22" s="7" t="str">
        <f>IFERROR(VLOOKUP($E22,Insumos_MAT!$C$8:G5010,2,0),"")</f>
        <v>CHI</v>
      </c>
      <c r="G22" s="21">
        <f>IFERROR(VLOOKUP($E22,Insumos_MAT!$C$8:G5010,3,0),0)</f>
        <v>156.24</v>
      </c>
      <c r="H22" s="22">
        <v>0.157</v>
      </c>
      <c r="I22" s="21">
        <f t="shared" si="4"/>
        <v>24.529680000000003</v>
      </c>
      <c r="J22" s="7" t="str">
        <f>IFERROR(VLOOKUP($K22,Insumos_MO!$C$8:G5008,5,0),"")</f>
        <v/>
      </c>
      <c r="K22" s="18"/>
      <c r="L22" s="7" t="str">
        <f>IFERROR(VLOOKUP($K22,Insumos_MO!$C$8:G5008,2,0),"")</f>
        <v/>
      </c>
      <c r="M22" s="21" t="str">
        <f>IFERROR(VLOOKUP($K22,Insumos_MO!$C$8:G5008,3,0),"")</f>
        <v/>
      </c>
      <c r="N22" s="22"/>
      <c r="O22" s="23">
        <f t="shared" si="5"/>
        <v>0</v>
      </c>
      <c r="P22" s="7"/>
    </row>
    <row r="23" spans="2:17" ht="25.5" x14ac:dyDescent="0.25">
      <c r="B23" s="62"/>
      <c r="C23" s="20"/>
      <c r="D23" s="7">
        <f>IFERROR(VLOOKUP($E23,Insumos_MAT!$C$8:G5011,5,0),"")</f>
        <v>11964</v>
      </c>
      <c r="E23" s="18" t="s">
        <v>168</v>
      </c>
      <c r="F23" s="7" t="str">
        <f>IFERROR(VLOOKUP($E23,Insumos_MAT!$C$8:G5011,2,0),"")</f>
        <v>UND</v>
      </c>
      <c r="G23" s="21">
        <f>IFERROR(VLOOKUP($E23,Insumos_MAT!$C$8:G5011,3,0),0)</f>
        <v>2.5499999999999998</v>
      </c>
      <c r="H23" s="22">
        <v>6</v>
      </c>
      <c r="I23" s="21">
        <f t="shared" si="2"/>
        <v>15.299999999999999</v>
      </c>
      <c r="J23" s="7" t="str">
        <f>IFERROR(VLOOKUP($K23,Insumos_MO!$C$8:G5009,5,0),"")</f>
        <v/>
      </c>
      <c r="K23" s="18"/>
      <c r="L23" s="7" t="str">
        <f>IFERROR(VLOOKUP($K23,Insumos_MO!$C$8:G5009,2,0),"")</f>
        <v/>
      </c>
      <c r="M23" s="21" t="str">
        <f>IFERROR(VLOOKUP($K23,Insumos_MO!$C$8:G5009,3,0),"")</f>
        <v/>
      </c>
      <c r="N23" s="22"/>
      <c r="O23" s="23">
        <f t="shared" si="3"/>
        <v>0</v>
      </c>
      <c r="P23" s="7"/>
    </row>
    <row r="24" spans="2:17" x14ac:dyDescent="0.25">
      <c r="B24" s="62"/>
      <c r="C24" s="20"/>
      <c r="D24" s="7">
        <f>IFERROR(VLOOKUP($E24,Insumos_MAT!$C$8:G5011,5,0),"")</f>
        <v>5318</v>
      </c>
      <c r="E24" s="18" t="s">
        <v>179</v>
      </c>
      <c r="F24" s="7" t="str">
        <f>IFERROR(VLOOKUP($E24,Insumos_MAT!$C$8:G5011,2,0),"")</f>
        <v>L</v>
      </c>
      <c r="G24" s="21">
        <f>IFERROR(VLOOKUP($E24,Insumos_MAT!$C$8:G5011,3,0),0)</f>
        <v>23.98</v>
      </c>
      <c r="H24" s="22">
        <f>1.9*4*(0.0106+0.0124)</f>
        <v>0.17479999999999998</v>
      </c>
      <c r="I24" s="21">
        <f t="shared" si="2"/>
        <v>4.1917039999999997</v>
      </c>
      <c r="J24" s="7" t="str">
        <f>IFERROR(VLOOKUP($K24,Insumos_MO!$C$8:G5009,5,0),"")</f>
        <v/>
      </c>
      <c r="K24" s="18"/>
      <c r="L24" s="7" t="str">
        <f>IFERROR(VLOOKUP($K24,Insumos_MO!$C$8:G5009,2,0),"")</f>
        <v/>
      </c>
      <c r="M24" s="21" t="str">
        <f>IFERROR(VLOOKUP($K24,Insumos_MO!$C$8:G5009,3,0),"")</f>
        <v/>
      </c>
      <c r="N24" s="22"/>
      <c r="O24" s="23">
        <f t="shared" si="3"/>
        <v>0</v>
      </c>
      <c r="P24" s="7"/>
    </row>
    <row r="25" spans="2:17" ht="25.5" x14ac:dyDescent="0.25">
      <c r="B25" s="62"/>
      <c r="C25" s="20"/>
      <c r="D25" s="7">
        <f>IFERROR(VLOOKUP($E25,Insumos_MAT!$C$8:G5012,5,0),"")</f>
        <v>7307</v>
      </c>
      <c r="E25" s="18" t="s">
        <v>181</v>
      </c>
      <c r="F25" s="7" t="str">
        <f>IFERROR(VLOOKUP($E25,Insumos_MAT!$C$8:G5012,2,0),"")</f>
        <v>L</v>
      </c>
      <c r="G25" s="21">
        <f>IFERROR(VLOOKUP($E25,Insumos_MAT!$C$8:G5012,3,0),0)</f>
        <v>41.78</v>
      </c>
      <c r="H25" s="22">
        <f>1.9*4*0.1062</f>
        <v>0.80711999999999995</v>
      </c>
      <c r="I25" s="21">
        <f t="shared" ref="I25" si="6">IFERROR(G25*H25,0)</f>
        <v>33.721473599999996</v>
      </c>
      <c r="J25" s="7" t="str">
        <f>IFERROR(VLOOKUP($K25,Insumos_MO!$C$8:G5010,5,0),"")</f>
        <v/>
      </c>
      <c r="K25" s="18"/>
      <c r="L25" s="7" t="str">
        <f>IFERROR(VLOOKUP($K25,Insumos_MO!$C$8:G5010,2,0),"")</f>
        <v/>
      </c>
      <c r="M25" s="21" t="str">
        <f>IFERROR(VLOOKUP($K25,Insumos_MO!$C$8:G5010,3,0),"")</f>
        <v/>
      </c>
      <c r="N25" s="22"/>
      <c r="O25" s="23">
        <f t="shared" ref="O25" si="7">IFERROR(M25*N25,0)</f>
        <v>0</v>
      </c>
      <c r="P25" s="7"/>
    </row>
    <row r="26" spans="2:17" x14ac:dyDescent="0.25">
      <c r="B26" s="62"/>
      <c r="C26" s="20"/>
      <c r="D26" s="7">
        <f>IFERROR(VLOOKUP($E26,Insumos_MAT!$C$8:G5012,5,0),"")</f>
        <v>7311</v>
      </c>
      <c r="E26" s="18" t="s">
        <v>183</v>
      </c>
      <c r="F26" s="7" t="str">
        <f>IFERROR(VLOOKUP($E26,Insumos_MAT!$C$8:G5012,2,0),"")</f>
        <v>L</v>
      </c>
      <c r="G26" s="21">
        <f>IFERROR(VLOOKUP($E26,Insumos_MAT!$C$8:G5012,3,0),0)</f>
        <v>40.01</v>
      </c>
      <c r="H26" s="22">
        <f>1.9*4*0.1242*2</f>
        <v>1.88784</v>
      </c>
      <c r="I26" s="21">
        <f t="shared" ref="I26" si="8">IFERROR(G26*H26,0)</f>
        <v>75.532478399999988</v>
      </c>
      <c r="J26" s="7" t="str">
        <f>IFERROR(VLOOKUP($K26,Insumos_MO!$C$8:G5010,5,0),"")</f>
        <v/>
      </c>
      <c r="K26" s="18"/>
      <c r="L26" s="7" t="str">
        <f>IFERROR(VLOOKUP($K26,Insumos_MO!$C$8:G5010,2,0),"")</f>
        <v/>
      </c>
      <c r="M26" s="21" t="str">
        <f>IFERROR(VLOOKUP($K26,Insumos_MO!$C$8:G5010,3,0),"")</f>
        <v/>
      </c>
      <c r="N26" s="22"/>
      <c r="O26" s="23">
        <f t="shared" ref="O26" si="9">IFERROR(M26*N26,0)</f>
        <v>0</v>
      </c>
      <c r="P26" s="7"/>
    </row>
    <row r="27" spans="2:17" x14ac:dyDescent="0.25">
      <c r="B27" s="62"/>
      <c r="C27" s="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</row>
    <row r="28" spans="2:17" ht="51" x14ac:dyDescent="0.2">
      <c r="B28" s="17">
        <v>3</v>
      </c>
      <c r="C28" s="36" t="s">
        <v>186</v>
      </c>
      <c r="D28" s="17" t="s">
        <v>8</v>
      </c>
      <c r="E28" s="17"/>
      <c r="F28" s="17"/>
      <c r="G28" s="17"/>
      <c r="H28" s="17"/>
      <c r="I28" s="26">
        <f>ROUND(SUM(I29:I38),2)</f>
        <v>2070.21</v>
      </c>
      <c r="J28" s="17"/>
      <c r="K28" s="17"/>
      <c r="L28" s="17"/>
      <c r="M28" s="17"/>
      <c r="N28" s="17"/>
      <c r="O28" s="27">
        <f>ROUND(SUM(O29:O38),2)</f>
        <v>916.79</v>
      </c>
      <c r="P28" s="26">
        <f>ROUND(SUM(I28,O28),2)</f>
        <v>2987</v>
      </c>
      <c r="Q28" s="25">
        <f>B28</f>
        <v>3</v>
      </c>
    </row>
    <row r="29" spans="2:17" ht="38.25" x14ac:dyDescent="0.2">
      <c r="B29" s="62" t="s">
        <v>37</v>
      </c>
      <c r="C29" s="20" t="s">
        <v>184</v>
      </c>
      <c r="D29" s="7">
        <f>IFERROR(VLOOKUP($E29,Insumos_MAT!$C$8:G5012,5,0),"")</f>
        <v>40598</v>
      </c>
      <c r="E29" s="18" t="s">
        <v>164</v>
      </c>
      <c r="F29" s="7" t="str">
        <f>IFERROR(VLOOKUP($E29,Insumos_MAT!$C$8:G5012,2,0),"")</f>
        <v>KG</v>
      </c>
      <c r="G29" s="21">
        <f>IFERROR(VLOOKUP($E29,Insumos_MAT!$C$8:G5012,3,0),0)</f>
        <v>12.31</v>
      </c>
      <c r="H29" s="22">
        <f>((5.85*2)+(((9*0.2)+(8*0.7))*2))*(30.4/6)</f>
        <v>134.26666666666665</v>
      </c>
      <c r="I29" s="21">
        <f>IFERROR(G29*H29,0)</f>
        <v>1652.8226666666665</v>
      </c>
      <c r="J29" s="7">
        <f>IFERROR(VLOOKUP($K29,Insumos_MO!$C$8:G5010,5,0),"")</f>
        <v>88315</v>
      </c>
      <c r="K29" s="18" t="s">
        <v>173</v>
      </c>
      <c r="L29" s="7" t="str">
        <f>IFERROR(VLOOKUP($K29,Insumos_MO!$C$8:G5010,2,0),"")</f>
        <v>H</v>
      </c>
      <c r="M29" s="21">
        <f>IFERROR(VLOOKUP($K29,Insumos_MO!$C$8:G5010,3,0),"")</f>
        <v>25.61</v>
      </c>
      <c r="N29" s="22">
        <f>0.53*5.85</f>
        <v>3.1004999999999998</v>
      </c>
      <c r="O29" s="23">
        <f>IFERROR(M29*N29,0)</f>
        <v>79.403804999999991</v>
      </c>
      <c r="P29" s="7"/>
      <c r="Q29" s="1"/>
    </row>
    <row r="30" spans="2:17" ht="25.5" x14ac:dyDescent="0.25">
      <c r="B30" s="62"/>
      <c r="C30" s="20" t="s">
        <v>177</v>
      </c>
      <c r="D30" s="7">
        <f>IFERROR(VLOOKUP($E30,Insumos_MAT!$C$8:G5009,5,0),"")</f>
        <v>10997</v>
      </c>
      <c r="E30" s="18" t="s">
        <v>160</v>
      </c>
      <c r="F30" s="7" t="str">
        <f>IFERROR(VLOOKUP($E30,Insumos_MAT!$C$8:G5009,2,0),"")</f>
        <v>KG</v>
      </c>
      <c r="G30" s="21">
        <f>IFERROR(VLOOKUP($E30,Insumos_MAT!$C$8:G5009,3,0),0)</f>
        <v>53.2</v>
      </c>
      <c r="H30" s="22">
        <v>0.27378000000000002</v>
      </c>
      <c r="I30" s="21">
        <f t="shared" ref="I30:I33" si="10">IFERROR(G30*H30,0)</f>
        <v>14.565096000000002</v>
      </c>
      <c r="J30" s="7">
        <f>IFERROR(VLOOKUP($K30,Insumos_MO!$C$8:G5007,5,0),"")</f>
        <v>88317</v>
      </c>
      <c r="K30" s="18" t="s">
        <v>174</v>
      </c>
      <c r="L30" s="7" t="str">
        <f>IFERROR(VLOOKUP($K30,Insumos_MO!$C$8:G5007,2,0),"")</f>
        <v>H</v>
      </c>
      <c r="M30" s="21">
        <f>IFERROR(VLOOKUP($K30,Insumos_MO!$C$8:G5007,3,0),"")</f>
        <v>34.26</v>
      </c>
      <c r="N30" s="22">
        <f>1.26*5.85</f>
        <v>7.3709999999999996</v>
      </c>
      <c r="O30" s="23">
        <f t="shared" ref="O30:O33" si="11">IFERROR(M30*N30,0)</f>
        <v>252.53045999999998</v>
      </c>
      <c r="P30" s="7"/>
    </row>
    <row r="31" spans="2:17" ht="25.5" x14ac:dyDescent="0.25">
      <c r="B31" s="62"/>
      <c r="C31" s="20" t="s">
        <v>182</v>
      </c>
      <c r="D31" s="7">
        <f>IFERROR(VLOOKUP($E31,Insumos_MAT!$C$8:G5010,5,0),"")</f>
        <v>10957</v>
      </c>
      <c r="E31" s="18" t="s">
        <v>161</v>
      </c>
      <c r="F31" s="7" t="str">
        <f>IFERROR(VLOOKUP($E31,Insumos_MAT!$C$8:G5010,2,0),"")</f>
        <v>KG</v>
      </c>
      <c r="G31" s="21">
        <f>IFERROR(VLOOKUP($E31,Insumos_MAT!$C$8:G5010,3,0),0)</f>
        <v>11.58</v>
      </c>
      <c r="H31" s="22">
        <f>(0.15*0.3*2)*149.39</f>
        <v>13.445099999999998</v>
      </c>
      <c r="I31" s="21">
        <f t="shared" si="10"/>
        <v>155.69425799999999</v>
      </c>
      <c r="J31" s="7">
        <f>IFERROR(VLOOKUP($K31,Insumos_MO!$C$8:G5008,5,0),"")</f>
        <v>88316</v>
      </c>
      <c r="K31" s="18" t="s">
        <v>80</v>
      </c>
      <c r="L31" s="7" t="str">
        <f>IFERROR(VLOOKUP($K31,Insumos_MO!$C$8:G5008,2,0),"")</f>
        <v>H</v>
      </c>
      <c r="M31" s="21">
        <f>IFERROR(VLOOKUP($K31,Insumos_MO!$C$8:G5008,3,0),"")</f>
        <v>21.3</v>
      </c>
      <c r="N31" s="22">
        <f>(2*5.85)+1.752</f>
        <v>13.452</v>
      </c>
      <c r="O31" s="23">
        <f t="shared" si="11"/>
        <v>286.52760000000001</v>
      </c>
      <c r="P31" s="7"/>
    </row>
    <row r="32" spans="2:17" ht="38.25" x14ac:dyDescent="0.25">
      <c r="B32" s="62"/>
      <c r="C32" s="20"/>
      <c r="D32" s="7">
        <f>IFERROR(VLOOKUP($E32,Insumos_MAT!$C$8:G5011,5,0),"")</f>
        <v>93287</v>
      </c>
      <c r="E32" s="18" t="s">
        <v>166</v>
      </c>
      <c r="F32" s="7" t="str">
        <f>IFERROR(VLOOKUP($E32,Insumos_MAT!$C$8:G5011,2,0),"")</f>
        <v>CHP</v>
      </c>
      <c r="G32" s="21">
        <f>IFERROR(VLOOKUP($E32,Insumos_MAT!$C$8:G5011,3,0),0)</f>
        <v>320.27999999999997</v>
      </c>
      <c r="H32" s="22">
        <v>0.1133</v>
      </c>
      <c r="I32" s="21">
        <f t="shared" si="10"/>
        <v>36.287723999999997</v>
      </c>
      <c r="J32" s="7">
        <f>IFERROR(VLOOKUP($K32,Insumos_MO!$C$8:G5009,5,0),"")</f>
        <v>88278</v>
      </c>
      <c r="K32" s="18" t="s">
        <v>175</v>
      </c>
      <c r="L32" s="7" t="str">
        <f>IFERROR(VLOOKUP($K32,Insumos_MO!$C$8:G5009,2,0),"")</f>
        <v>H</v>
      </c>
      <c r="M32" s="21">
        <f>IFERROR(VLOOKUP($K32,Insumos_MO!$C$8:G5009,3,0),"")</f>
        <v>25.67</v>
      </c>
      <c r="N32" s="22">
        <v>4.0789999999999997</v>
      </c>
      <c r="O32" s="23">
        <f t="shared" si="11"/>
        <v>104.70793</v>
      </c>
      <c r="P32" s="7"/>
    </row>
    <row r="33" spans="2:17" ht="38.25" x14ac:dyDescent="0.25">
      <c r="B33" s="62"/>
      <c r="C33" s="20"/>
      <c r="D33" s="7">
        <f>IFERROR(VLOOKUP($E33,Insumos_MAT!$C$8:G5012,5,0),"")</f>
        <v>93288</v>
      </c>
      <c r="E33" s="18" t="s">
        <v>167</v>
      </c>
      <c r="F33" s="7" t="str">
        <f>IFERROR(VLOOKUP($E33,Insumos_MAT!$C$8:G5012,2,0),"")</f>
        <v>CHI</v>
      </c>
      <c r="G33" s="21">
        <f>IFERROR(VLOOKUP($E33,Insumos_MAT!$C$8:G5012,3,0),0)</f>
        <v>156.24</v>
      </c>
      <c r="H33" s="22">
        <v>0.157</v>
      </c>
      <c r="I33" s="21">
        <f t="shared" si="10"/>
        <v>24.529680000000003</v>
      </c>
      <c r="J33" s="7">
        <f>IFERROR(VLOOKUP($K33,Insumos_MO!$C$8:G5010,5,0),"")</f>
        <v>88310</v>
      </c>
      <c r="K33" s="18" t="s">
        <v>178</v>
      </c>
      <c r="L33" s="7" t="str">
        <f>IFERROR(VLOOKUP($K33,Insumos_MO!$C$8:G5010,2,0),"")</f>
        <v>H</v>
      </c>
      <c r="M33" s="21">
        <f>IFERROR(VLOOKUP($K33,Insumos_MO!$C$8:G5010,3,0),"")</f>
        <v>27.02</v>
      </c>
      <c r="N33" s="22">
        <f>1.9*5.85*(0.2149+0.2149*2)</f>
        <v>7.1658404999999998</v>
      </c>
      <c r="O33" s="23">
        <f t="shared" si="11"/>
        <v>193.62101031</v>
      </c>
      <c r="P33" s="7"/>
    </row>
    <row r="34" spans="2:17" ht="25.5" x14ac:dyDescent="0.25">
      <c r="B34" s="62"/>
      <c r="C34" s="20"/>
      <c r="D34" s="7">
        <f>IFERROR(VLOOKUP($E34,Insumos_MAT!$C$8:G5013,5,0),"")</f>
        <v>11964</v>
      </c>
      <c r="E34" s="18" t="s">
        <v>168</v>
      </c>
      <c r="F34" s="7" t="str">
        <f>IFERROR(VLOOKUP($E34,Insumos_MAT!$C$8:G5013,2,0),"")</f>
        <v>UND</v>
      </c>
      <c r="G34" s="21">
        <f>IFERROR(VLOOKUP($E34,Insumos_MAT!$C$8:G5013,3,0),0)</f>
        <v>2.5499999999999998</v>
      </c>
      <c r="H34" s="22">
        <v>8</v>
      </c>
      <c r="I34" s="21">
        <f t="shared" ref="I34:I37" si="12">IFERROR(G34*H34,0)</f>
        <v>20.399999999999999</v>
      </c>
      <c r="J34" s="7" t="str">
        <f>IFERROR(VLOOKUP($K34,Insumos_MO!$C$8:G5011,5,0),"")</f>
        <v/>
      </c>
      <c r="K34" s="18"/>
      <c r="L34" s="7" t="str">
        <f>IFERROR(VLOOKUP($K34,Insumos_MO!$C$8:G5011,2,0),"")</f>
        <v/>
      </c>
      <c r="M34" s="21" t="str">
        <f>IFERROR(VLOOKUP($K34,Insumos_MO!$C$8:G5011,3,0),"")</f>
        <v/>
      </c>
      <c r="N34" s="22"/>
      <c r="O34" s="23">
        <f t="shared" ref="O34:O37" si="13">IFERROR(M34*N34,0)</f>
        <v>0</v>
      </c>
      <c r="P34" s="7"/>
    </row>
    <row r="35" spans="2:17" x14ac:dyDescent="0.25">
      <c r="B35" s="62"/>
      <c r="C35" s="20"/>
      <c r="D35" s="7">
        <f>IFERROR(VLOOKUP($E35,Insumos_MAT!$C$8:G5014,5,0),"")</f>
        <v>5318</v>
      </c>
      <c r="E35" s="18" t="s">
        <v>179</v>
      </c>
      <c r="F35" s="7" t="str">
        <f>IFERROR(VLOOKUP($E35,Insumos_MAT!$C$8:G5014,2,0),"")</f>
        <v>L</v>
      </c>
      <c r="G35" s="21">
        <f>IFERROR(VLOOKUP($E35,Insumos_MAT!$C$8:G5014,3,0),0)</f>
        <v>23.98</v>
      </c>
      <c r="H35" s="22">
        <f>1.9*5.85*(0.0106+0.0124)</f>
        <v>0.25564499999999996</v>
      </c>
      <c r="I35" s="21">
        <f t="shared" si="12"/>
        <v>6.1303670999999991</v>
      </c>
      <c r="J35" s="7" t="str">
        <f>IFERROR(VLOOKUP($K35,Insumos_MO!$C$8:G5012,5,0),"")</f>
        <v/>
      </c>
      <c r="K35" s="18"/>
      <c r="L35" s="7" t="str">
        <f>IFERROR(VLOOKUP($K35,Insumos_MO!$C$8:G5012,2,0),"")</f>
        <v/>
      </c>
      <c r="M35" s="21" t="str">
        <f>IFERROR(VLOOKUP($K35,Insumos_MO!$C$8:G5012,3,0),"")</f>
        <v/>
      </c>
      <c r="N35" s="22"/>
      <c r="O35" s="23">
        <f t="shared" si="13"/>
        <v>0</v>
      </c>
      <c r="P35" s="7"/>
    </row>
    <row r="36" spans="2:17" ht="25.5" x14ac:dyDescent="0.25">
      <c r="B36" s="62"/>
      <c r="C36" s="20"/>
      <c r="D36" s="7">
        <f>IFERROR(VLOOKUP($E36,Insumos_MAT!$C$8:G5015,5,0),"")</f>
        <v>7307</v>
      </c>
      <c r="E36" s="18" t="s">
        <v>181</v>
      </c>
      <c r="F36" s="7" t="str">
        <f>IFERROR(VLOOKUP($E36,Insumos_MAT!$C$8:G5015,2,0),"")</f>
        <v>L</v>
      </c>
      <c r="G36" s="21">
        <f>IFERROR(VLOOKUP($E36,Insumos_MAT!$C$8:G5015,3,0),0)</f>
        <v>41.78</v>
      </c>
      <c r="H36" s="22">
        <f>1.9*5.85*0.1062</f>
        <v>1.1804129999999999</v>
      </c>
      <c r="I36" s="21">
        <f t="shared" si="12"/>
        <v>49.317655139999999</v>
      </c>
      <c r="J36" s="7" t="str">
        <f>IFERROR(VLOOKUP($K36,Insumos_MO!$C$8:G5013,5,0),"")</f>
        <v/>
      </c>
      <c r="K36" s="18"/>
      <c r="L36" s="7" t="str">
        <f>IFERROR(VLOOKUP($K36,Insumos_MO!$C$8:G5013,2,0),"")</f>
        <v/>
      </c>
      <c r="M36" s="21" t="str">
        <f>IFERROR(VLOOKUP($K36,Insumos_MO!$C$8:G5013,3,0),"")</f>
        <v/>
      </c>
      <c r="N36" s="22"/>
      <c r="O36" s="23">
        <f t="shared" si="13"/>
        <v>0</v>
      </c>
      <c r="P36" s="7"/>
    </row>
    <row r="37" spans="2:17" x14ac:dyDescent="0.25">
      <c r="B37" s="62"/>
      <c r="C37" s="20"/>
      <c r="D37" s="7">
        <f>IFERROR(VLOOKUP($E37,Insumos_MAT!$C$8:G5016,5,0),"")</f>
        <v>7311</v>
      </c>
      <c r="E37" s="18" t="s">
        <v>183</v>
      </c>
      <c r="F37" s="7" t="str">
        <f>IFERROR(VLOOKUP($E37,Insumos_MAT!$C$8:G5016,2,0),"")</f>
        <v>L</v>
      </c>
      <c r="G37" s="21">
        <f>IFERROR(VLOOKUP($E37,Insumos_MAT!$C$8:G5016,3,0),0)</f>
        <v>40.01</v>
      </c>
      <c r="H37" s="22">
        <f>1.9*5.85*0.1242*2</f>
        <v>2.7609659999999998</v>
      </c>
      <c r="I37" s="21">
        <f t="shared" si="12"/>
        <v>110.46624965999999</v>
      </c>
      <c r="J37" s="7" t="str">
        <f>IFERROR(VLOOKUP($K37,Insumos_MO!$C$8:G5014,5,0),"")</f>
        <v/>
      </c>
      <c r="K37" s="18"/>
      <c r="L37" s="7" t="str">
        <f>IFERROR(VLOOKUP($K37,Insumos_MO!$C$8:G5014,2,0),"")</f>
        <v/>
      </c>
      <c r="M37" s="21" t="str">
        <f>IFERROR(VLOOKUP($K37,Insumos_MO!$C$8:G5014,3,0),"")</f>
        <v/>
      </c>
      <c r="N37" s="22"/>
      <c r="O37" s="23">
        <f t="shared" si="13"/>
        <v>0</v>
      </c>
      <c r="P37" s="7"/>
    </row>
    <row r="38" spans="2:17" x14ac:dyDescent="0.25">
      <c r="B38" s="62"/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5"/>
    </row>
    <row r="39" spans="2:17" ht="51" x14ac:dyDescent="0.2">
      <c r="B39" s="17">
        <v>4</v>
      </c>
      <c r="C39" s="36" t="s">
        <v>185</v>
      </c>
      <c r="D39" s="17"/>
      <c r="E39" s="17"/>
      <c r="F39" s="17"/>
      <c r="G39" s="17"/>
      <c r="H39" s="17"/>
      <c r="I39" s="26">
        <f>ROUND(SUM(I40:I49),2)</f>
        <v>3430.58</v>
      </c>
      <c r="J39" s="17"/>
      <c r="K39" s="17"/>
      <c r="L39" s="17"/>
      <c r="M39" s="17"/>
      <c r="N39" s="17"/>
      <c r="O39" s="27">
        <f>ROUND(SUM(O40:O49),2)</f>
        <v>1928.84</v>
      </c>
      <c r="P39" s="26">
        <f>ROUND(SUM(I39,O39),2)</f>
        <v>5359.42</v>
      </c>
      <c r="Q39" s="25">
        <f>B39</f>
        <v>4</v>
      </c>
    </row>
    <row r="40" spans="2:17" ht="38.25" x14ac:dyDescent="0.2">
      <c r="B40" s="62" t="s">
        <v>171</v>
      </c>
      <c r="C40" s="20" t="s">
        <v>188</v>
      </c>
      <c r="D40" s="7">
        <f>IFERROR(VLOOKUP($E40,Insumos_MAT!$C$8:G5019,5,0),"")</f>
        <v>40598</v>
      </c>
      <c r="E40" s="18" t="s">
        <v>164</v>
      </c>
      <c r="F40" s="7" t="str">
        <f>IFERROR(VLOOKUP($E40,Insumos_MAT!$C$8:G5019,2,0),"")</f>
        <v>KG</v>
      </c>
      <c r="G40" s="21">
        <f>IFERROR(VLOOKUP($E40,Insumos_MAT!$C$8:G5019,3,0),0)</f>
        <v>12.31</v>
      </c>
      <c r="H40" s="22">
        <f>(12.6+6.2+6.2+1+(0.79*2)+(0.58*2)+(0.43*2)+(0.37*2)+(0.23*2)+(0.15*2)+(0.9*2)+(0.9*2)+(0.5*2)+(1.12*2)+(1.5*2)+(1.6*2))*(30.4/6)</f>
        <v>223.64266666666666</v>
      </c>
      <c r="I40" s="21">
        <f>IFERROR(G40*H40,0)</f>
        <v>2753.0412266666667</v>
      </c>
      <c r="J40" s="7">
        <f>IFERROR(VLOOKUP($K40,Insumos_MO!$C$8:G5017,5,0),"")</f>
        <v>88315</v>
      </c>
      <c r="K40" s="18" t="s">
        <v>173</v>
      </c>
      <c r="L40" s="7" t="str">
        <f>IFERROR(VLOOKUP($K40,Insumos_MO!$C$8:G5017,2,0),"")</f>
        <v>H</v>
      </c>
      <c r="M40" s="21">
        <f>IFERROR(VLOOKUP($K40,Insumos_MO!$C$8:G5017,3,0),"")</f>
        <v>25.61</v>
      </c>
      <c r="N40" s="22">
        <f>0.53*12.6</f>
        <v>6.6779999999999999</v>
      </c>
      <c r="O40" s="23">
        <f>IFERROR(M40*N40,0)</f>
        <v>171.02357999999998</v>
      </c>
      <c r="P40" s="7"/>
      <c r="Q40" s="1"/>
    </row>
    <row r="41" spans="2:17" ht="25.5" x14ac:dyDescent="0.25">
      <c r="B41" s="62"/>
      <c r="C41" s="20" t="s">
        <v>177</v>
      </c>
      <c r="D41" s="7">
        <f>IFERROR(VLOOKUP($E41,Insumos_MAT!$C$8:G5020,5,0),"")</f>
        <v>10997</v>
      </c>
      <c r="E41" s="18" t="s">
        <v>160</v>
      </c>
      <c r="F41" s="7" t="str">
        <f>IFERROR(VLOOKUP($E41,Insumos_MAT!$C$8:G5020,2,0),"")</f>
        <v>KG</v>
      </c>
      <c r="G41" s="21">
        <f>IFERROR(VLOOKUP($E41,Insumos_MAT!$C$8:G5020,3,0),0)</f>
        <v>53.2</v>
      </c>
      <c r="H41" s="22">
        <v>0.58967999999999998</v>
      </c>
      <c r="I41" s="21">
        <f t="shared" ref="I41:I43" si="14">IFERROR(G41*H41,0)</f>
        <v>31.370976000000002</v>
      </c>
      <c r="J41" s="7">
        <f>IFERROR(VLOOKUP($K41,Insumos_MO!$C$8:G5018,5,0),"")</f>
        <v>88317</v>
      </c>
      <c r="K41" s="18" t="s">
        <v>174</v>
      </c>
      <c r="L41" s="7" t="str">
        <f>IFERROR(VLOOKUP($K41,Insumos_MO!$C$8:G5018,2,0),"")</f>
        <v>H</v>
      </c>
      <c r="M41" s="21">
        <f>IFERROR(VLOOKUP($K41,Insumos_MO!$C$8:G5018,3,0),"")</f>
        <v>34.26</v>
      </c>
      <c r="N41" s="22">
        <f>1.26*12.6</f>
        <v>15.875999999999999</v>
      </c>
      <c r="O41" s="23">
        <f t="shared" ref="O41:O43" si="15">IFERROR(M41*N41,0)</f>
        <v>543.91175999999996</v>
      </c>
      <c r="P41" s="7"/>
    </row>
    <row r="42" spans="2:17" ht="25.5" x14ac:dyDescent="0.25">
      <c r="B42" s="62"/>
      <c r="C42" s="20" t="s">
        <v>182</v>
      </c>
      <c r="D42" s="7">
        <f>IFERROR(VLOOKUP($E42,Insumos_MAT!$C$8:G5021,5,0),"")</f>
        <v>10957</v>
      </c>
      <c r="E42" s="18" t="s">
        <v>161</v>
      </c>
      <c r="F42" s="7" t="str">
        <f>IFERROR(VLOOKUP($E42,Insumos_MAT!$C$8:G5021,2,0),"")</f>
        <v>KG</v>
      </c>
      <c r="G42" s="21">
        <f>IFERROR(VLOOKUP($E42,Insumos_MAT!$C$8:G5021,3,0),0)</f>
        <v>11.58</v>
      </c>
      <c r="H42" s="22">
        <f>((0.15*0.4)*2)*149.39</f>
        <v>17.926799999999997</v>
      </c>
      <c r="I42" s="21">
        <f t="shared" si="14"/>
        <v>207.59234399999997</v>
      </c>
      <c r="J42" s="7">
        <f>IFERROR(VLOOKUP($K42,Insumos_MO!$C$8:G5019,5,0),"")</f>
        <v>88316</v>
      </c>
      <c r="K42" s="18" t="s">
        <v>80</v>
      </c>
      <c r="L42" s="7" t="str">
        <f>IFERROR(VLOOKUP($K42,Insumos_MO!$C$8:G5019,2,0),"")</f>
        <v>H</v>
      </c>
      <c r="M42" s="21">
        <f>IFERROR(VLOOKUP($K42,Insumos_MO!$C$8:G5019,3,0),"")</f>
        <v>21.3</v>
      </c>
      <c r="N42" s="22">
        <f>(2*12.6)+2.643</f>
        <v>27.843</v>
      </c>
      <c r="O42" s="23">
        <f t="shared" si="15"/>
        <v>593.05590000000007</v>
      </c>
      <c r="P42" s="7"/>
    </row>
    <row r="43" spans="2:17" ht="38.25" x14ac:dyDescent="0.25">
      <c r="B43" s="62"/>
      <c r="C43" s="20"/>
      <c r="D43" s="7">
        <f>IFERROR(VLOOKUP($E43,Insumos_MAT!$C$8:G5022,5,0),"")</f>
        <v>93287</v>
      </c>
      <c r="E43" s="18" t="s">
        <v>166</v>
      </c>
      <c r="F43" s="7" t="str">
        <f>IFERROR(VLOOKUP($E43,Insumos_MAT!$C$8:G5022,2,0),"")</f>
        <v>CHP</v>
      </c>
      <c r="G43" s="21">
        <f>IFERROR(VLOOKUP($E43,Insumos_MAT!$C$8:G5022,3,0),0)</f>
        <v>320.27999999999997</v>
      </c>
      <c r="H43" s="22">
        <v>0.1133</v>
      </c>
      <c r="I43" s="21">
        <f t="shared" si="14"/>
        <v>36.287723999999997</v>
      </c>
      <c r="J43" s="7">
        <f>IFERROR(VLOOKUP($K43,Insumos_MO!$C$8:G5020,5,0),"")</f>
        <v>88278</v>
      </c>
      <c r="K43" s="18" t="s">
        <v>175</v>
      </c>
      <c r="L43" s="7" t="str">
        <f>IFERROR(VLOOKUP($K43,Insumos_MO!$C$8:G5020,2,0),"")</f>
        <v>H</v>
      </c>
      <c r="M43" s="21">
        <f>IFERROR(VLOOKUP($K43,Insumos_MO!$C$8:G5020,3,0),"")</f>
        <v>25.67</v>
      </c>
      <c r="N43" s="22">
        <v>7.94</v>
      </c>
      <c r="O43" s="23">
        <f t="shared" si="15"/>
        <v>203.81980000000001</v>
      </c>
      <c r="P43" s="7"/>
    </row>
    <row r="44" spans="2:17" ht="38.25" x14ac:dyDescent="0.25">
      <c r="B44" s="62"/>
      <c r="C44" s="20"/>
      <c r="D44" s="7">
        <f>IFERROR(VLOOKUP($E44,Insumos_MAT!$C$8:G5023,5,0),"")</f>
        <v>93288</v>
      </c>
      <c r="E44" s="18" t="s">
        <v>167</v>
      </c>
      <c r="F44" s="7" t="str">
        <f>IFERROR(VLOOKUP($E44,Insumos_MAT!$C$8:G5023,2,0),"")</f>
        <v>CHI</v>
      </c>
      <c r="G44" s="21">
        <f>IFERROR(VLOOKUP($E44,Insumos_MAT!$C$8:G5023,3,0),0)</f>
        <v>156.24</v>
      </c>
      <c r="H44" s="22">
        <v>0.157</v>
      </c>
      <c r="I44" s="21">
        <f t="shared" ref="I44:I48" si="16">IFERROR(G44*H44,0)</f>
        <v>24.529680000000003</v>
      </c>
      <c r="J44" s="7">
        <f>IFERROR(VLOOKUP($K44,Insumos_MO!$C$8:G5021,5,0),"")</f>
        <v>88310</v>
      </c>
      <c r="K44" s="18" t="s">
        <v>178</v>
      </c>
      <c r="L44" s="7" t="str">
        <f>IFERROR(VLOOKUP($K44,Insumos_MO!$C$8:G5021,2,0),"")</f>
        <v>H</v>
      </c>
      <c r="M44" s="21">
        <f>IFERROR(VLOOKUP($K44,Insumos_MO!$C$8:G5021,3,0),"")</f>
        <v>27.02</v>
      </c>
      <c r="N44" s="22">
        <f>1.9*12.6*(0.2149+0.2149*2)</f>
        <v>15.434118</v>
      </c>
      <c r="O44" s="23">
        <f t="shared" ref="O44:O48" si="17">IFERROR(M44*N44,0)</f>
        <v>417.02986835999997</v>
      </c>
      <c r="P44" s="7"/>
    </row>
    <row r="45" spans="2:17" ht="25.5" x14ac:dyDescent="0.25">
      <c r="B45" s="62"/>
      <c r="C45" s="20"/>
      <c r="D45" s="7">
        <f>IFERROR(VLOOKUP($E45,Insumos_MAT!$C$8:G5024,5,0),"")</f>
        <v>11964</v>
      </c>
      <c r="E45" s="18" t="s">
        <v>168</v>
      </c>
      <c r="F45" s="7" t="str">
        <f>IFERROR(VLOOKUP($E45,Insumos_MAT!$C$8:G5024,2,0),"")</f>
        <v>UND</v>
      </c>
      <c r="G45" s="21">
        <f>IFERROR(VLOOKUP($E45,Insumos_MAT!$C$8:G5024,3,0),0)</f>
        <v>2.5499999999999998</v>
      </c>
      <c r="H45" s="22">
        <v>8</v>
      </c>
      <c r="I45" s="21">
        <f t="shared" si="16"/>
        <v>20.399999999999999</v>
      </c>
      <c r="J45" s="7" t="str">
        <f>IFERROR(VLOOKUP($K45,Insumos_MO!$C$8:G5022,5,0),"")</f>
        <v/>
      </c>
      <c r="K45" s="18"/>
      <c r="L45" s="7" t="str">
        <f>IFERROR(VLOOKUP($K45,Insumos_MO!$C$8:G5022,2,0),"")</f>
        <v/>
      </c>
      <c r="M45" s="21" t="str">
        <f>IFERROR(VLOOKUP($K45,Insumos_MO!$C$8:G5022,3,0),"")</f>
        <v/>
      </c>
      <c r="N45" s="22"/>
      <c r="O45" s="23">
        <f t="shared" si="17"/>
        <v>0</v>
      </c>
      <c r="P45" s="7"/>
    </row>
    <row r="46" spans="2:17" x14ac:dyDescent="0.25">
      <c r="B46" s="62"/>
      <c r="C46" s="20"/>
      <c r="D46" s="7">
        <f>IFERROR(VLOOKUP($E46,Insumos_MAT!$C$8:G5025,5,0),"")</f>
        <v>5318</v>
      </c>
      <c r="E46" s="18" t="s">
        <v>179</v>
      </c>
      <c r="F46" s="7" t="str">
        <f>IFERROR(VLOOKUP($E46,Insumos_MAT!$C$8:G5025,2,0),"")</f>
        <v>L</v>
      </c>
      <c r="G46" s="21">
        <f>IFERROR(VLOOKUP($E46,Insumos_MAT!$C$8:G5025,3,0),0)</f>
        <v>23.98</v>
      </c>
      <c r="H46" s="22">
        <f>1.9*12.6*(0.0106+0.0124)</f>
        <v>0.55061999999999989</v>
      </c>
      <c r="I46" s="21">
        <f t="shared" si="16"/>
        <v>13.203867599999997</v>
      </c>
      <c r="J46" s="7" t="str">
        <f>IFERROR(VLOOKUP($K46,Insumos_MO!$C$8:G5023,5,0),"")</f>
        <v/>
      </c>
      <c r="K46" s="18"/>
      <c r="L46" s="7" t="str">
        <f>IFERROR(VLOOKUP($K46,Insumos_MO!$C$8:G5023,2,0),"")</f>
        <v/>
      </c>
      <c r="M46" s="21" t="str">
        <f>IFERROR(VLOOKUP($K46,Insumos_MO!$C$8:G5023,3,0),"")</f>
        <v/>
      </c>
      <c r="N46" s="22"/>
      <c r="O46" s="23">
        <f t="shared" si="17"/>
        <v>0</v>
      </c>
      <c r="P46" s="7"/>
    </row>
    <row r="47" spans="2:17" ht="25.5" x14ac:dyDescent="0.25">
      <c r="B47" s="62"/>
      <c r="C47" s="20"/>
      <c r="D47" s="7">
        <f>IFERROR(VLOOKUP($E47,Insumos_MAT!$C$8:G5026,5,0),"")</f>
        <v>7307</v>
      </c>
      <c r="E47" s="18" t="s">
        <v>181</v>
      </c>
      <c r="F47" s="7" t="str">
        <f>IFERROR(VLOOKUP($E47,Insumos_MAT!$C$8:G5026,2,0),"")</f>
        <v>L</v>
      </c>
      <c r="G47" s="21">
        <f>IFERROR(VLOOKUP($E47,Insumos_MAT!$C$8:G5026,3,0),0)</f>
        <v>41.78</v>
      </c>
      <c r="H47" s="22">
        <f>1.9*12.6*0.1062</f>
        <v>2.5424279999999997</v>
      </c>
      <c r="I47" s="21">
        <f t="shared" si="16"/>
        <v>106.22264183999999</v>
      </c>
      <c r="J47" s="7" t="str">
        <f>IFERROR(VLOOKUP($K47,Insumos_MO!$C$8:G5024,5,0),"")</f>
        <v/>
      </c>
      <c r="K47" s="18"/>
      <c r="L47" s="7" t="str">
        <f>IFERROR(VLOOKUP($K47,Insumos_MO!$C$8:G5024,2,0),"")</f>
        <v/>
      </c>
      <c r="M47" s="21" t="str">
        <f>IFERROR(VLOOKUP($K47,Insumos_MO!$C$8:G5024,3,0),"")</f>
        <v/>
      </c>
      <c r="N47" s="22"/>
      <c r="O47" s="23">
        <f t="shared" si="17"/>
        <v>0</v>
      </c>
      <c r="P47" s="7"/>
    </row>
    <row r="48" spans="2:17" x14ac:dyDescent="0.25">
      <c r="B48" s="62"/>
      <c r="C48" s="20"/>
      <c r="D48" s="7">
        <f>IFERROR(VLOOKUP($E48,Insumos_MAT!$C$8:G5027,5,0),"")</f>
        <v>7311</v>
      </c>
      <c r="E48" s="18" t="s">
        <v>183</v>
      </c>
      <c r="F48" s="7" t="str">
        <f>IFERROR(VLOOKUP($E48,Insumos_MAT!$C$8:G5027,2,0),"")</f>
        <v>L</v>
      </c>
      <c r="G48" s="21">
        <f>IFERROR(VLOOKUP($E48,Insumos_MAT!$C$8:G5027,3,0),0)</f>
        <v>40.01</v>
      </c>
      <c r="H48" s="22">
        <f>1.9*12.6*0.1242*2</f>
        <v>5.9466959999999993</v>
      </c>
      <c r="I48" s="21">
        <f t="shared" si="16"/>
        <v>237.92730695999995</v>
      </c>
      <c r="J48" s="7" t="str">
        <f>IFERROR(VLOOKUP($K48,Insumos_MO!$C$8:G5025,5,0),"")</f>
        <v/>
      </c>
      <c r="K48" s="18"/>
      <c r="L48" s="7" t="str">
        <f>IFERROR(VLOOKUP($K48,Insumos_MO!$C$8:G5025,2,0),"")</f>
        <v/>
      </c>
      <c r="M48" s="21" t="str">
        <f>IFERROR(VLOOKUP($K48,Insumos_MO!$C$8:G5025,3,0),"")</f>
        <v/>
      </c>
      <c r="N48" s="22"/>
      <c r="O48" s="23">
        <f t="shared" si="17"/>
        <v>0</v>
      </c>
      <c r="P48" s="7"/>
    </row>
    <row r="49" spans="2:17" x14ac:dyDescent="0.25">
      <c r="B49" s="62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5"/>
    </row>
    <row r="50" spans="2:17" ht="25.5" x14ac:dyDescent="0.2">
      <c r="B50" s="17">
        <v>5</v>
      </c>
      <c r="C50" s="36" t="s">
        <v>189</v>
      </c>
      <c r="D50" s="17" t="s">
        <v>56</v>
      </c>
      <c r="E50" s="17"/>
      <c r="F50" s="17"/>
      <c r="G50" s="17"/>
      <c r="H50" s="17"/>
      <c r="I50" s="26">
        <f>ROUND(SUM(I51:I56),2)</f>
        <v>12.57</v>
      </c>
      <c r="J50" s="17"/>
      <c r="K50" s="17"/>
      <c r="L50" s="17"/>
      <c r="M50" s="17"/>
      <c r="N50" s="17"/>
      <c r="O50" s="27">
        <f>ROUND(SUM(O51:O56),2)</f>
        <v>28.18</v>
      </c>
      <c r="P50" s="26">
        <f>ROUND(SUM(I50,O50),2)</f>
        <v>40.75</v>
      </c>
      <c r="Q50" s="25">
        <f>B50</f>
        <v>5</v>
      </c>
    </row>
    <row r="51" spans="2:17" ht="25.5" x14ac:dyDescent="0.2">
      <c r="B51" s="62" t="s">
        <v>172</v>
      </c>
      <c r="C51" s="20"/>
      <c r="D51" s="7">
        <f>IFERROR(VLOOKUP($E51,Insumos_MAT!$C$8:G5026,5,0),"")</f>
        <v>43054</v>
      </c>
      <c r="E51" s="18" t="s">
        <v>165</v>
      </c>
      <c r="F51" s="7" t="str">
        <f>IFERROR(VLOOKUP($E51,Insumos_MAT!$C$8:G5026,2,0),"")</f>
        <v>KG</v>
      </c>
      <c r="G51" s="21">
        <f>IFERROR(VLOOKUP($E51,Insumos_MAT!$C$8:G5026,3,0),0)</f>
        <v>9.51</v>
      </c>
      <c r="H51" s="22">
        <v>0.61699999999999999</v>
      </c>
      <c r="I51" s="21">
        <f>IFERROR(G51*H51,0)</f>
        <v>5.8676699999999995</v>
      </c>
      <c r="J51" s="7">
        <f>IFERROR(VLOOKUP($K51,Insumos_MO!$C$8:G5024,5,0),"")</f>
        <v>88316</v>
      </c>
      <c r="K51" s="18" t="s">
        <v>80</v>
      </c>
      <c r="L51" s="7" t="str">
        <f>IFERROR(VLOOKUP($K51,Insumos_MO!$C$8:G5024,2,0),"")</f>
        <v>H</v>
      </c>
      <c r="M51" s="21">
        <f>IFERROR(VLOOKUP($K51,Insumos_MO!$C$8:G5024,3,0),"")</f>
        <v>21.3</v>
      </c>
      <c r="N51" s="22">
        <v>0.6</v>
      </c>
      <c r="O51" s="23">
        <f>IFERROR(M51*N51,0)</f>
        <v>12.78</v>
      </c>
      <c r="P51" s="7"/>
      <c r="Q51" s="1"/>
    </row>
    <row r="52" spans="2:17" ht="25.5" x14ac:dyDescent="0.25">
      <c r="B52" s="62"/>
      <c r="C52" s="20"/>
      <c r="D52" s="7">
        <f>IFERROR(VLOOKUP($E52,Insumos_MAT!$C$8:G5027,5,0),"")</f>
        <v>10997</v>
      </c>
      <c r="E52" s="18" t="s">
        <v>160</v>
      </c>
      <c r="F52" s="7" t="str">
        <f>IFERROR(VLOOKUP($E52,Insumos_MAT!$C$8:G5027,2,0),"")</f>
        <v>KG</v>
      </c>
      <c r="G52" s="21">
        <f>IFERROR(VLOOKUP($E52,Insumos_MAT!$C$8:G5027,3,0),0)</f>
        <v>53.2</v>
      </c>
      <c r="H52" s="22">
        <v>0.126</v>
      </c>
      <c r="I52" s="21">
        <f t="shared" ref="I52:I55" si="18">IFERROR(G52*H52,0)</f>
        <v>6.7032000000000007</v>
      </c>
      <c r="J52" s="7">
        <f>IFERROR(VLOOKUP($K52,Insumos_MO!$C$8:G5025,5,0),"")</f>
        <v>88278</v>
      </c>
      <c r="K52" s="18" t="s">
        <v>175</v>
      </c>
      <c r="L52" s="7" t="str">
        <f>IFERROR(VLOOKUP($K52,Insumos_MO!$C$8:G5025,2,0),"")</f>
        <v>H</v>
      </c>
      <c r="M52" s="21">
        <f>IFERROR(VLOOKUP($K52,Insumos_MO!$C$8:G5025,3,0),"")</f>
        <v>25.67</v>
      </c>
      <c r="N52" s="22">
        <v>0.6</v>
      </c>
      <c r="O52" s="23">
        <f t="shared" ref="O52:O55" si="19">IFERROR(M52*N52,0)</f>
        <v>15.402000000000001</v>
      </c>
      <c r="P52" s="7"/>
    </row>
    <row r="53" spans="2:17" x14ac:dyDescent="0.25">
      <c r="B53" s="62"/>
      <c r="C53" s="20"/>
      <c r="D53" s="7" t="str">
        <f>IFERROR(VLOOKUP($E53,Insumos_MAT!$C$8:G5028,5,0),"")</f>
        <v/>
      </c>
      <c r="E53" s="18"/>
      <c r="F53" s="7" t="str">
        <f>IFERROR(VLOOKUP($E53,Insumos_MAT!$C$8:G5028,2,0),"")</f>
        <v/>
      </c>
      <c r="G53" s="21">
        <f>IFERROR(VLOOKUP($E53,Insumos_MAT!$C$8:G5028,3,0),0)</f>
        <v>0</v>
      </c>
      <c r="H53" s="22"/>
      <c r="I53" s="21">
        <f t="shared" si="18"/>
        <v>0</v>
      </c>
      <c r="J53" s="7" t="str">
        <f>IFERROR(VLOOKUP($K53,Insumos_MO!$C$8:G5026,5,0),"")</f>
        <v/>
      </c>
      <c r="K53" s="18"/>
      <c r="L53" s="7" t="str">
        <f>IFERROR(VLOOKUP($K53,Insumos_MO!$C$8:G5026,2,0),"")</f>
        <v/>
      </c>
      <c r="M53" s="21" t="str">
        <f>IFERROR(VLOOKUP($K53,Insumos_MO!$C$8:G5026,3,0),"")</f>
        <v/>
      </c>
      <c r="N53" s="22"/>
      <c r="O53" s="23">
        <f t="shared" si="19"/>
        <v>0</v>
      </c>
      <c r="P53" s="7"/>
    </row>
    <row r="54" spans="2:17" x14ac:dyDescent="0.25">
      <c r="B54" s="62"/>
      <c r="C54" s="20"/>
      <c r="D54" s="7" t="str">
        <f>IFERROR(VLOOKUP($E54,Insumos_MAT!$C$8:G5029,5,0),"")</f>
        <v/>
      </c>
      <c r="E54" s="18"/>
      <c r="F54" s="7" t="str">
        <f>IFERROR(VLOOKUP($E54,Insumos_MAT!$C$8:G5029,2,0),"")</f>
        <v/>
      </c>
      <c r="G54" s="21">
        <f>IFERROR(VLOOKUP($E54,Insumos_MAT!$C$8:G5029,3,0),0)</f>
        <v>0</v>
      </c>
      <c r="H54" s="22"/>
      <c r="I54" s="21">
        <f t="shared" si="18"/>
        <v>0</v>
      </c>
      <c r="J54" s="7" t="str">
        <f>IFERROR(VLOOKUP($K54,Insumos_MO!$C$8:G5027,5,0),"")</f>
        <v/>
      </c>
      <c r="K54" s="18"/>
      <c r="L54" s="7" t="str">
        <f>IFERROR(VLOOKUP($K54,Insumos_MO!$C$8:G5027,2,0),"")</f>
        <v/>
      </c>
      <c r="M54" s="21" t="str">
        <f>IFERROR(VLOOKUP($K54,Insumos_MO!$C$8:G5027,3,0),"")</f>
        <v/>
      </c>
      <c r="N54" s="22"/>
      <c r="O54" s="23">
        <f t="shared" si="19"/>
        <v>0</v>
      </c>
      <c r="P54" s="7"/>
    </row>
    <row r="55" spans="2:17" x14ac:dyDescent="0.25">
      <c r="B55" s="62"/>
      <c r="C55" s="20"/>
      <c r="D55" s="7" t="str">
        <f>IFERROR(VLOOKUP($E55,Insumos_MAT!$C$8:G5030,5,0),"")</f>
        <v/>
      </c>
      <c r="E55" s="18"/>
      <c r="F55" s="7" t="str">
        <f>IFERROR(VLOOKUP($E55,Insumos_MAT!$C$8:G5030,2,0),"")</f>
        <v/>
      </c>
      <c r="G55" s="21">
        <f>IFERROR(VLOOKUP($E55,Insumos_MAT!$C$8:G5030,3,0),0)</f>
        <v>0</v>
      </c>
      <c r="H55" s="22"/>
      <c r="I55" s="21">
        <f t="shared" si="18"/>
        <v>0</v>
      </c>
      <c r="J55" s="7" t="str">
        <f>IFERROR(VLOOKUP($K55,Insumos_MO!$C$8:G5028,5,0),"")</f>
        <v/>
      </c>
      <c r="K55" s="18"/>
      <c r="L55" s="7" t="str">
        <f>IFERROR(VLOOKUP($K55,Insumos_MO!$C$8:G5028,2,0),"")</f>
        <v/>
      </c>
      <c r="M55" s="21" t="str">
        <f>IFERROR(VLOOKUP($K55,Insumos_MO!$C$8:G5028,3,0),"")</f>
        <v/>
      </c>
      <c r="N55" s="22"/>
      <c r="O55" s="23">
        <f t="shared" si="19"/>
        <v>0</v>
      </c>
      <c r="P55" s="7"/>
    </row>
    <row r="56" spans="2:17" x14ac:dyDescent="0.25">
      <c r="B56" s="62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8" spans="2:17" ht="15.75" x14ac:dyDescent="0.25">
      <c r="B58" s="33" t="s">
        <v>122</v>
      </c>
    </row>
    <row r="59" spans="2:17" ht="15.75" x14ac:dyDescent="0.25">
      <c r="B59" s="34" t="s">
        <v>207</v>
      </c>
      <c r="N59" s="35" t="s">
        <v>125</v>
      </c>
      <c r="O59" s="45">
        <f ca="1">TODAY()</f>
        <v>45161</v>
      </c>
      <c r="P59" s="45"/>
    </row>
    <row r="60" spans="2:17" ht="15.75" x14ac:dyDescent="0.25">
      <c r="B60" s="34" t="s">
        <v>206</v>
      </c>
    </row>
    <row r="61" spans="2:17" ht="15.75" x14ac:dyDescent="0.25">
      <c r="B61" s="34" t="s">
        <v>211</v>
      </c>
    </row>
    <row r="62" spans="2:17" ht="15.75" x14ac:dyDescent="0.25">
      <c r="B62" s="34" t="s">
        <v>124</v>
      </c>
    </row>
  </sheetData>
  <mergeCells count="15">
    <mergeCell ref="B4:P4"/>
    <mergeCell ref="B3:P3"/>
    <mergeCell ref="B2:P2"/>
    <mergeCell ref="B10:B15"/>
    <mergeCell ref="B6:P6"/>
    <mergeCell ref="B7:D7"/>
    <mergeCell ref="E7:I7"/>
    <mergeCell ref="J7:O7"/>
    <mergeCell ref="P7:P8"/>
    <mergeCell ref="O59:P59"/>
    <mergeCell ref="B40:B49"/>
    <mergeCell ref="B51:B56"/>
    <mergeCell ref="B29:B38"/>
    <mergeCell ref="B5:P5"/>
    <mergeCell ref="B17:B27"/>
  </mergeCells>
  <pageMargins left="0.51181102362204722" right="0.51181102362204722" top="0.78740157480314965" bottom="0.78740157480314965" header="0.31496062992125984" footer="0.31496062992125984"/>
  <pageSetup paperSize="9" scale="45" fitToHeight="0" orientation="landscape" r:id="rId1"/>
  <rowBreaks count="1" manualBreakCount="1">
    <brk id="38" max="15" man="1"/>
  </rowBreaks>
  <colBreaks count="1" manualBreakCount="1">
    <brk id="9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21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60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51" t="s">
        <v>16</v>
      </c>
      <c r="C2" s="52"/>
      <c r="D2" s="52"/>
      <c r="E2" s="52"/>
      <c r="F2" s="52"/>
      <c r="G2" s="53"/>
    </row>
    <row r="3" spans="2:7" ht="21" customHeight="1" x14ac:dyDescent="0.25">
      <c r="B3" s="54" t="s">
        <v>1</v>
      </c>
      <c r="C3" s="55"/>
      <c r="D3" s="55"/>
      <c r="E3" s="55"/>
      <c r="F3" s="55"/>
      <c r="G3" s="56"/>
    </row>
    <row r="4" spans="2:7" ht="21" customHeight="1" x14ac:dyDescent="0.25">
      <c r="B4" s="54" t="s">
        <v>15</v>
      </c>
      <c r="C4" s="55"/>
      <c r="D4" s="55"/>
      <c r="E4" s="55"/>
      <c r="F4" s="55"/>
      <c r="G4" s="56"/>
    </row>
    <row r="5" spans="2:7" ht="21" customHeight="1" x14ac:dyDescent="0.25">
      <c r="B5" s="57" t="s">
        <v>2</v>
      </c>
      <c r="C5" s="58"/>
      <c r="D5" s="58"/>
      <c r="E5" s="58"/>
      <c r="F5" s="58"/>
      <c r="G5" s="59"/>
    </row>
    <row r="6" spans="2:7" ht="15.75" x14ac:dyDescent="0.25">
      <c r="B6" s="60" t="s">
        <v>17</v>
      </c>
      <c r="C6" s="60"/>
      <c r="D6" s="60"/>
      <c r="E6" s="60"/>
      <c r="F6" s="60"/>
      <c r="G6" s="60"/>
    </row>
    <row r="7" spans="2:7" x14ac:dyDescent="0.25">
      <c r="B7" s="16" t="s">
        <v>18</v>
      </c>
      <c r="C7" s="16" t="s">
        <v>19</v>
      </c>
      <c r="D7" s="16" t="s">
        <v>8</v>
      </c>
      <c r="E7" s="16" t="s">
        <v>21</v>
      </c>
      <c r="F7" s="16" t="s">
        <v>20</v>
      </c>
      <c r="G7" s="16" t="s">
        <v>3</v>
      </c>
    </row>
    <row r="8" spans="2:7" ht="25.5" x14ac:dyDescent="0.25">
      <c r="B8" s="17">
        <v>1</v>
      </c>
      <c r="C8" s="18" t="s">
        <v>165</v>
      </c>
      <c r="D8" s="17" t="s">
        <v>102</v>
      </c>
      <c r="E8" s="19">
        <v>9.51</v>
      </c>
      <c r="F8" s="17" t="s">
        <v>54</v>
      </c>
      <c r="G8" s="7">
        <v>43054</v>
      </c>
    </row>
    <row r="9" spans="2:7" x14ac:dyDescent="0.25">
      <c r="B9" s="17">
        <v>2</v>
      </c>
      <c r="C9" s="18" t="s">
        <v>191</v>
      </c>
      <c r="D9" s="17" t="s">
        <v>102</v>
      </c>
      <c r="E9" s="19">
        <v>2.21</v>
      </c>
      <c r="F9" s="17" t="s">
        <v>54</v>
      </c>
      <c r="G9" s="7">
        <v>37595</v>
      </c>
    </row>
    <row r="10" spans="2:7" x14ac:dyDescent="0.25">
      <c r="B10" s="17">
        <v>3</v>
      </c>
      <c r="C10" s="18" t="s">
        <v>163</v>
      </c>
      <c r="D10" s="17" t="s">
        <v>102</v>
      </c>
      <c r="E10" s="19">
        <v>42.72</v>
      </c>
      <c r="F10" s="17" t="s">
        <v>54</v>
      </c>
      <c r="G10" s="7">
        <v>591</v>
      </c>
    </row>
    <row r="11" spans="2:7" x14ac:dyDescent="0.25">
      <c r="B11" s="17">
        <v>4</v>
      </c>
      <c r="C11" s="18" t="s">
        <v>161</v>
      </c>
      <c r="D11" s="17" t="s">
        <v>102</v>
      </c>
      <c r="E11" s="19">
        <v>11.58</v>
      </c>
      <c r="F11" s="17" t="s">
        <v>54</v>
      </c>
      <c r="G11" s="7">
        <v>10957</v>
      </c>
    </row>
    <row r="12" spans="2:7" x14ac:dyDescent="0.25">
      <c r="B12" s="17">
        <v>5</v>
      </c>
      <c r="C12" s="18" t="s">
        <v>190</v>
      </c>
      <c r="D12" s="17" t="s">
        <v>102</v>
      </c>
      <c r="E12" s="19">
        <v>0.82</v>
      </c>
      <c r="F12" s="17" t="s">
        <v>54</v>
      </c>
      <c r="G12" s="7">
        <v>1379</v>
      </c>
    </row>
    <row r="13" spans="2:7" x14ac:dyDescent="0.25">
      <c r="B13" s="17">
        <v>6</v>
      </c>
      <c r="C13" s="18" t="s">
        <v>179</v>
      </c>
      <c r="D13" s="17" t="s">
        <v>180</v>
      </c>
      <c r="E13" s="19">
        <v>23.98</v>
      </c>
      <c r="F13" s="17" t="s">
        <v>54</v>
      </c>
      <c r="G13" s="7">
        <v>5318</v>
      </c>
    </row>
    <row r="14" spans="2:7" x14ac:dyDescent="0.25">
      <c r="B14" s="17">
        <v>7</v>
      </c>
      <c r="C14" s="18" t="s">
        <v>160</v>
      </c>
      <c r="D14" s="17" t="s">
        <v>102</v>
      </c>
      <c r="E14" s="19">
        <v>53.2</v>
      </c>
      <c r="F14" s="17" t="s">
        <v>54</v>
      </c>
      <c r="G14" s="7">
        <v>10997</v>
      </c>
    </row>
    <row r="15" spans="2:7" x14ac:dyDescent="0.25">
      <c r="B15" s="17">
        <v>8</v>
      </c>
      <c r="C15" s="18" t="s">
        <v>181</v>
      </c>
      <c r="D15" s="17" t="s">
        <v>180</v>
      </c>
      <c r="E15" s="19">
        <v>41.78</v>
      </c>
      <c r="F15" s="17" t="s">
        <v>54</v>
      </c>
      <c r="G15" s="7">
        <v>7307</v>
      </c>
    </row>
    <row r="16" spans="2:7" ht="25.5" x14ac:dyDescent="0.25">
      <c r="B16" s="17">
        <v>9</v>
      </c>
      <c r="C16" s="18" t="s">
        <v>167</v>
      </c>
      <c r="D16" s="17" t="s">
        <v>170</v>
      </c>
      <c r="E16" s="19">
        <v>156.24</v>
      </c>
      <c r="F16" s="17" t="s">
        <v>79</v>
      </c>
      <c r="G16" s="7">
        <v>93288</v>
      </c>
    </row>
    <row r="17" spans="2:7" ht="25.5" x14ac:dyDescent="0.25">
      <c r="B17" s="17">
        <v>10</v>
      </c>
      <c r="C17" s="18" t="s">
        <v>166</v>
      </c>
      <c r="D17" s="17" t="s">
        <v>169</v>
      </c>
      <c r="E17" s="19">
        <v>320.27999999999997</v>
      </c>
      <c r="F17" s="17" t="s">
        <v>79</v>
      </c>
      <c r="G17" s="7">
        <v>93287</v>
      </c>
    </row>
    <row r="18" spans="2:7" ht="25.5" x14ac:dyDescent="0.25">
      <c r="B18" s="17">
        <v>11</v>
      </c>
      <c r="C18" s="18" t="s">
        <v>168</v>
      </c>
      <c r="D18" s="17" t="s">
        <v>8</v>
      </c>
      <c r="E18" s="19">
        <v>2.5499999999999998</v>
      </c>
      <c r="F18" s="17" t="s">
        <v>54</v>
      </c>
      <c r="G18" s="7">
        <v>11964</v>
      </c>
    </row>
    <row r="19" spans="2:7" x14ac:dyDescent="0.25">
      <c r="B19" s="17">
        <v>12</v>
      </c>
      <c r="C19" s="18" t="s">
        <v>162</v>
      </c>
      <c r="D19" s="17" t="s">
        <v>102</v>
      </c>
      <c r="E19" s="19">
        <v>13.3</v>
      </c>
      <c r="F19" s="17" t="s">
        <v>54</v>
      </c>
      <c r="G19" s="7">
        <v>43692</v>
      </c>
    </row>
    <row r="20" spans="2:7" ht="25.5" x14ac:dyDescent="0.25">
      <c r="B20" s="17">
        <v>13</v>
      </c>
      <c r="C20" s="18" t="s">
        <v>164</v>
      </c>
      <c r="D20" s="17" t="s">
        <v>102</v>
      </c>
      <c r="E20" s="19">
        <v>12.31</v>
      </c>
      <c r="F20" s="17" t="s">
        <v>54</v>
      </c>
      <c r="G20" s="7">
        <v>40598</v>
      </c>
    </row>
    <row r="21" spans="2:7" x14ac:dyDescent="0.25">
      <c r="B21" s="17">
        <v>14</v>
      </c>
      <c r="C21" s="18" t="s">
        <v>183</v>
      </c>
      <c r="D21" s="17" t="s">
        <v>180</v>
      </c>
      <c r="E21" s="19">
        <v>40.01</v>
      </c>
      <c r="F21" s="17" t="s">
        <v>54</v>
      </c>
      <c r="G21" s="7">
        <v>7311</v>
      </c>
    </row>
  </sheetData>
  <sortState xmlns:xlrd2="http://schemas.microsoft.com/office/spreadsheetml/2017/richdata2" ref="C8:G21">
    <sortCondition ref="C8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3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65.7109375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51" t="s">
        <v>196</v>
      </c>
      <c r="C2" s="52"/>
      <c r="D2" s="52"/>
      <c r="E2" s="52"/>
      <c r="F2" s="52"/>
      <c r="G2" s="53"/>
    </row>
    <row r="3" spans="2:7" ht="21" customHeight="1" x14ac:dyDescent="0.25">
      <c r="B3" s="54" t="s">
        <v>1</v>
      </c>
      <c r="C3" s="55"/>
      <c r="D3" s="55"/>
      <c r="E3" s="55"/>
      <c r="F3" s="55"/>
      <c r="G3" s="56"/>
    </row>
    <row r="4" spans="2:7" ht="21" customHeight="1" x14ac:dyDescent="0.25">
      <c r="B4" s="54" t="s">
        <v>15</v>
      </c>
      <c r="C4" s="55"/>
      <c r="D4" s="55"/>
      <c r="E4" s="55"/>
      <c r="F4" s="55"/>
      <c r="G4" s="56"/>
    </row>
    <row r="5" spans="2:7" ht="21" customHeight="1" x14ac:dyDescent="0.25">
      <c r="B5" s="57" t="s">
        <v>2</v>
      </c>
      <c r="C5" s="58"/>
      <c r="D5" s="58"/>
      <c r="E5" s="58"/>
      <c r="F5" s="58"/>
      <c r="G5" s="59"/>
    </row>
    <row r="6" spans="2:7" ht="15.75" x14ac:dyDescent="0.25">
      <c r="B6" s="60" t="s">
        <v>22</v>
      </c>
      <c r="C6" s="60"/>
      <c r="D6" s="60"/>
      <c r="E6" s="60"/>
      <c r="F6" s="60"/>
      <c r="G6" s="60"/>
    </row>
    <row r="7" spans="2:7" x14ac:dyDescent="0.25">
      <c r="B7" s="16" t="s">
        <v>18</v>
      </c>
      <c r="C7" s="16" t="s">
        <v>19</v>
      </c>
      <c r="D7" s="16" t="s">
        <v>8</v>
      </c>
      <c r="E7" s="16" t="s">
        <v>21</v>
      </c>
      <c r="F7" s="16" t="s">
        <v>20</v>
      </c>
      <c r="G7" s="16" t="s">
        <v>3</v>
      </c>
    </row>
    <row r="8" spans="2:7" x14ac:dyDescent="0.25">
      <c r="B8" s="17">
        <v>1</v>
      </c>
      <c r="C8" s="18" t="s">
        <v>77</v>
      </c>
      <c r="D8" s="17" t="s">
        <v>78</v>
      </c>
      <c r="E8" s="19">
        <v>27.39</v>
      </c>
      <c r="F8" s="17" t="s">
        <v>79</v>
      </c>
      <c r="G8" s="7">
        <v>88267</v>
      </c>
    </row>
    <row r="9" spans="2:7" x14ac:dyDescent="0.25">
      <c r="B9" s="17">
        <v>2</v>
      </c>
      <c r="C9" s="18" t="s">
        <v>175</v>
      </c>
      <c r="D9" s="17" t="s">
        <v>78</v>
      </c>
      <c r="E9" s="19">
        <v>25.67</v>
      </c>
      <c r="F9" s="17" t="s">
        <v>79</v>
      </c>
      <c r="G9" s="7">
        <v>88278</v>
      </c>
    </row>
    <row r="10" spans="2:7" x14ac:dyDescent="0.25">
      <c r="B10" s="17">
        <v>3</v>
      </c>
      <c r="C10" s="18" t="s">
        <v>178</v>
      </c>
      <c r="D10" s="17" t="s">
        <v>78</v>
      </c>
      <c r="E10" s="19">
        <v>27.02</v>
      </c>
      <c r="F10" s="17" t="s">
        <v>79</v>
      </c>
      <c r="G10" s="7">
        <v>88310</v>
      </c>
    </row>
    <row r="11" spans="2:7" x14ac:dyDescent="0.25">
      <c r="B11" s="17">
        <v>4</v>
      </c>
      <c r="C11" s="18" t="s">
        <v>173</v>
      </c>
      <c r="D11" s="17" t="s">
        <v>78</v>
      </c>
      <c r="E11" s="19">
        <v>25.61</v>
      </c>
      <c r="F11" s="17" t="s">
        <v>79</v>
      </c>
      <c r="G11" s="7">
        <v>88315</v>
      </c>
    </row>
    <row r="12" spans="2:7" x14ac:dyDescent="0.25">
      <c r="B12" s="17">
        <v>5</v>
      </c>
      <c r="C12" s="18" t="s">
        <v>80</v>
      </c>
      <c r="D12" s="17" t="s">
        <v>78</v>
      </c>
      <c r="E12" s="19">
        <v>21.3</v>
      </c>
      <c r="F12" s="17" t="s">
        <v>79</v>
      </c>
      <c r="G12" s="7">
        <v>88316</v>
      </c>
    </row>
    <row r="13" spans="2:7" x14ac:dyDescent="0.25">
      <c r="B13" s="17">
        <v>6</v>
      </c>
      <c r="C13" s="18" t="s">
        <v>174</v>
      </c>
      <c r="D13" s="17" t="s">
        <v>78</v>
      </c>
      <c r="E13" s="19">
        <v>34.26</v>
      </c>
      <c r="F13" s="17" t="s">
        <v>79</v>
      </c>
      <c r="G13" s="7">
        <v>88317</v>
      </c>
    </row>
  </sheetData>
  <sortState xmlns:xlrd2="http://schemas.microsoft.com/office/spreadsheetml/2017/richdata2" ref="C8:G13">
    <sortCondition ref="C8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26"/>
  <sheetViews>
    <sheetView showGridLines="0" view="pageBreakPreview" zoomScale="85" zoomScaleNormal="85" zoomScaleSheetLayoutView="85" workbookViewId="0">
      <selection activeCell="B7" sqref="B7"/>
    </sheetView>
  </sheetViews>
  <sheetFormatPr defaultRowHeight="12.75" x14ac:dyDescent="0.25"/>
  <cols>
    <col min="1" max="1" width="2.85546875" style="2" customWidth="1"/>
    <col min="2" max="2" width="18.42578125" style="2" customWidth="1"/>
    <col min="3" max="3" width="60" style="2" customWidth="1"/>
    <col min="4" max="4" width="13.85546875" style="2" customWidth="1"/>
    <col min="5" max="5" width="25.7109375" style="2" customWidth="1"/>
    <col min="6" max="6" width="13.7109375" style="2" customWidth="1"/>
    <col min="7" max="7" width="18.42578125" style="2" customWidth="1"/>
    <col min="8" max="16384" width="9.140625" style="2"/>
  </cols>
  <sheetData>
    <row r="2" spans="2:8" ht="21" customHeight="1" x14ac:dyDescent="0.25">
      <c r="B2" s="51" t="s">
        <v>0</v>
      </c>
      <c r="C2" s="52"/>
      <c r="D2" s="52"/>
      <c r="E2" s="52"/>
      <c r="F2" s="52"/>
      <c r="G2" s="53"/>
    </row>
    <row r="3" spans="2:8" ht="21" customHeight="1" x14ac:dyDescent="0.25">
      <c r="B3" s="54" t="s">
        <v>1</v>
      </c>
      <c r="C3" s="55"/>
      <c r="D3" s="55"/>
      <c r="E3" s="55"/>
      <c r="F3" s="55"/>
      <c r="G3" s="56"/>
    </row>
    <row r="4" spans="2:8" ht="21" customHeight="1" x14ac:dyDescent="0.25">
      <c r="B4" s="54" t="s">
        <v>15</v>
      </c>
      <c r="C4" s="55"/>
      <c r="D4" s="55"/>
      <c r="E4" s="55"/>
      <c r="F4" s="55"/>
      <c r="G4" s="56"/>
    </row>
    <row r="5" spans="2:8" ht="21" customHeight="1" x14ac:dyDescent="0.25">
      <c r="B5" s="57" t="s">
        <v>2</v>
      </c>
      <c r="C5" s="58"/>
      <c r="D5" s="58"/>
      <c r="E5" s="58"/>
      <c r="F5" s="58"/>
      <c r="G5" s="59"/>
    </row>
    <row r="6" spans="2:8" x14ac:dyDescent="0.25">
      <c r="B6" s="14" t="s">
        <v>3</v>
      </c>
      <c r="C6" s="14" t="s">
        <v>14</v>
      </c>
      <c r="D6" s="14"/>
      <c r="E6" s="14" t="s">
        <v>5</v>
      </c>
      <c r="F6" s="14" t="s">
        <v>6</v>
      </c>
      <c r="G6" s="14" t="s">
        <v>7</v>
      </c>
    </row>
    <row r="7" spans="2:8" x14ac:dyDescent="0.25">
      <c r="B7" s="11">
        <v>1</v>
      </c>
      <c r="C7" s="64"/>
      <c r="D7" s="64"/>
      <c r="E7" s="11"/>
      <c r="F7" s="12"/>
      <c r="G7" s="13" t="str">
        <f>IFERROR(IF(COUNT(G9:G11)&lt;3,SMALL(G9:G11,1),MEDIAN(G9:G11)),"")</f>
        <v/>
      </c>
      <c r="H7" s="15">
        <f>B7</f>
        <v>1</v>
      </c>
    </row>
    <row r="8" spans="2:8" x14ac:dyDescent="0.25">
      <c r="B8" s="10" t="s">
        <v>9</v>
      </c>
      <c r="C8" s="10" t="s">
        <v>10</v>
      </c>
      <c r="D8" s="10" t="s">
        <v>4</v>
      </c>
      <c r="E8" s="10" t="s">
        <v>13</v>
      </c>
      <c r="F8" s="10" t="s">
        <v>11</v>
      </c>
      <c r="G8" s="10" t="s">
        <v>12</v>
      </c>
      <c r="H8" s="15"/>
    </row>
    <row r="9" spans="2:8" x14ac:dyDescent="0.25">
      <c r="B9" s="6"/>
      <c r="C9" s="7"/>
      <c r="D9" s="7"/>
      <c r="E9" s="7"/>
      <c r="F9" s="8"/>
      <c r="G9" s="9"/>
      <c r="H9" s="15"/>
    </row>
    <row r="10" spans="2:8" x14ac:dyDescent="0.25">
      <c r="B10" s="6"/>
      <c r="C10" s="7"/>
      <c r="D10" s="7"/>
      <c r="E10" s="7"/>
      <c r="F10" s="8"/>
      <c r="G10" s="9"/>
      <c r="H10" s="15"/>
    </row>
    <row r="11" spans="2:8" x14ac:dyDescent="0.25">
      <c r="B11" s="6"/>
      <c r="C11" s="7"/>
      <c r="D11" s="7"/>
      <c r="E11" s="7"/>
      <c r="F11" s="8"/>
      <c r="G11" s="9"/>
      <c r="H11" s="15"/>
    </row>
    <row r="12" spans="2:8" x14ac:dyDescent="0.25">
      <c r="B12" s="3"/>
      <c r="C12" s="4"/>
      <c r="D12" s="4"/>
      <c r="E12" s="4"/>
      <c r="F12" s="4"/>
      <c r="G12" s="5"/>
      <c r="H12" s="15"/>
    </row>
    <row r="13" spans="2:8" x14ac:dyDescent="0.25">
      <c r="B13" s="14" t="s">
        <v>3</v>
      </c>
      <c r="C13" s="14" t="s">
        <v>14</v>
      </c>
      <c r="D13" s="14"/>
      <c r="E13" s="14" t="s">
        <v>5</v>
      </c>
      <c r="F13" s="14" t="s">
        <v>6</v>
      </c>
      <c r="G13" s="14" t="s">
        <v>7</v>
      </c>
      <c r="H13" s="15"/>
    </row>
    <row r="14" spans="2:8" x14ac:dyDescent="0.25">
      <c r="B14" s="11">
        <v>2</v>
      </c>
      <c r="C14" s="64"/>
      <c r="D14" s="64"/>
      <c r="E14" s="11"/>
      <c r="F14" s="12"/>
      <c r="G14" s="13" t="str">
        <f>IFERROR(IF(COUNT(G16:G18)&lt;3,SMALL(G16:G18,1),MEDIAN(G16:G18)),"")</f>
        <v/>
      </c>
      <c r="H14" s="15">
        <f>B14</f>
        <v>2</v>
      </c>
    </row>
    <row r="15" spans="2:8" x14ac:dyDescent="0.25">
      <c r="B15" s="10" t="s">
        <v>9</v>
      </c>
      <c r="C15" s="10" t="s">
        <v>10</v>
      </c>
      <c r="D15" s="10" t="s">
        <v>4</v>
      </c>
      <c r="E15" s="10" t="s">
        <v>13</v>
      </c>
      <c r="F15" s="10" t="s">
        <v>11</v>
      </c>
      <c r="G15" s="10" t="s">
        <v>12</v>
      </c>
      <c r="H15" s="15"/>
    </row>
    <row r="16" spans="2:8" x14ac:dyDescent="0.25">
      <c r="B16" s="6"/>
      <c r="C16" s="7"/>
      <c r="D16" s="7"/>
      <c r="E16" s="7"/>
      <c r="F16" s="8"/>
      <c r="G16" s="9"/>
      <c r="H16" s="15"/>
    </row>
    <row r="17" spans="2:8" x14ac:dyDescent="0.25">
      <c r="B17" s="6"/>
      <c r="C17" s="7"/>
      <c r="D17" s="7"/>
      <c r="E17" s="7"/>
      <c r="F17" s="8"/>
      <c r="G17" s="9"/>
      <c r="H17" s="15"/>
    </row>
    <row r="18" spans="2:8" x14ac:dyDescent="0.25">
      <c r="B18" s="6"/>
      <c r="C18" s="7"/>
      <c r="D18" s="7"/>
      <c r="E18" s="7"/>
      <c r="F18" s="8"/>
      <c r="G18" s="9"/>
      <c r="H18" s="15"/>
    </row>
    <row r="19" spans="2:8" x14ac:dyDescent="0.25">
      <c r="B19" s="3"/>
      <c r="C19" s="4"/>
      <c r="D19" s="4"/>
      <c r="E19" s="4"/>
      <c r="F19" s="4"/>
      <c r="G19" s="5"/>
      <c r="H19" s="15"/>
    </row>
    <row r="20" spans="2:8" x14ac:dyDescent="0.25">
      <c r="B20" s="14" t="s">
        <v>3</v>
      </c>
      <c r="C20" s="14" t="s">
        <v>14</v>
      </c>
      <c r="D20" s="14"/>
      <c r="E20" s="14" t="s">
        <v>5</v>
      </c>
      <c r="F20" s="14" t="s">
        <v>6</v>
      </c>
      <c r="G20" s="14" t="s">
        <v>7</v>
      </c>
      <c r="H20" s="15"/>
    </row>
    <row r="21" spans="2:8" x14ac:dyDescent="0.25">
      <c r="B21" s="11">
        <v>3</v>
      </c>
      <c r="C21" s="64"/>
      <c r="D21" s="64"/>
      <c r="E21" s="11"/>
      <c r="F21" s="12"/>
      <c r="G21" s="13" t="str">
        <f>IFERROR(IF(COUNT(G23:G25)&lt;3,SMALL(G23:G25,1),MEDIAN(G23:G25)),"")</f>
        <v/>
      </c>
      <c r="H21" s="15">
        <f>B21</f>
        <v>3</v>
      </c>
    </row>
    <row r="22" spans="2:8" x14ac:dyDescent="0.25">
      <c r="B22" s="10" t="s">
        <v>9</v>
      </c>
      <c r="C22" s="10" t="s">
        <v>10</v>
      </c>
      <c r="D22" s="10" t="s">
        <v>4</v>
      </c>
      <c r="E22" s="10" t="s">
        <v>13</v>
      </c>
      <c r="F22" s="10" t="s">
        <v>11</v>
      </c>
      <c r="G22" s="10" t="s">
        <v>12</v>
      </c>
    </row>
    <row r="23" spans="2:8" x14ac:dyDescent="0.25">
      <c r="B23" s="6"/>
      <c r="C23" s="7"/>
      <c r="D23" s="7"/>
      <c r="E23" s="7"/>
      <c r="F23" s="8"/>
      <c r="G23" s="9"/>
    </row>
    <row r="24" spans="2:8" x14ac:dyDescent="0.25">
      <c r="B24" s="6"/>
      <c r="C24" s="7"/>
      <c r="D24" s="7"/>
      <c r="E24" s="7"/>
      <c r="F24" s="8"/>
      <c r="G24" s="9"/>
    </row>
    <row r="25" spans="2:8" x14ac:dyDescent="0.25">
      <c r="B25" s="6"/>
      <c r="C25" s="7"/>
      <c r="D25" s="7"/>
      <c r="E25" s="7"/>
      <c r="F25" s="8"/>
      <c r="G25" s="9"/>
    </row>
    <row r="26" spans="2:8" x14ac:dyDescent="0.25">
      <c r="B26" s="3"/>
      <c r="C26" s="4"/>
      <c r="D26" s="4"/>
      <c r="E26" s="4"/>
      <c r="F26" s="4"/>
      <c r="G26" s="5"/>
    </row>
  </sheetData>
  <mergeCells count="7">
    <mergeCell ref="C21:D21"/>
    <mergeCell ref="B2:G2"/>
    <mergeCell ref="B3:G3"/>
    <mergeCell ref="B4:G4"/>
    <mergeCell ref="B5:G5"/>
    <mergeCell ref="C7:D7"/>
    <mergeCell ref="C14:D14"/>
  </mergeCells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27"/>
  <sheetViews>
    <sheetView showGridLines="0" view="pageBreakPreview" zoomScaleNormal="90" zoomScaleSheetLayoutView="100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3" width="36.5703125" style="2" customWidth="1"/>
    <col min="4" max="4" width="13.7109375" style="2" customWidth="1"/>
    <col min="5" max="5" width="18.28515625" style="2" customWidth="1"/>
    <col min="6" max="6" width="13.7109375" style="2" customWidth="1"/>
    <col min="7" max="7" width="18.28515625" style="2" customWidth="1"/>
    <col min="8" max="8" width="13.7109375" style="2" customWidth="1"/>
    <col min="9" max="9" width="18.28515625" style="2" customWidth="1"/>
    <col min="10" max="16384" width="9.140625" style="2"/>
  </cols>
  <sheetData>
    <row r="1" spans="2:10" ht="15" customHeight="1" x14ac:dyDescent="0.25"/>
    <row r="2" spans="2:10" ht="21" customHeight="1" x14ac:dyDescent="0.25">
      <c r="B2" s="51" t="s">
        <v>197</v>
      </c>
      <c r="C2" s="52"/>
      <c r="D2" s="52"/>
      <c r="E2" s="52"/>
      <c r="F2" s="52"/>
      <c r="G2" s="52"/>
      <c r="H2" s="52"/>
      <c r="I2" s="53"/>
    </row>
    <row r="3" spans="2:10" ht="21" customHeight="1" x14ac:dyDescent="0.25">
      <c r="B3" s="54" t="s">
        <v>1</v>
      </c>
      <c r="C3" s="55"/>
      <c r="D3" s="55"/>
      <c r="E3" s="55"/>
      <c r="F3" s="55"/>
      <c r="G3" s="55"/>
      <c r="H3" s="55"/>
      <c r="I3" s="56"/>
    </row>
    <row r="4" spans="2:10" ht="21" customHeight="1" x14ac:dyDescent="0.25">
      <c r="B4" s="54" t="s">
        <v>15</v>
      </c>
      <c r="C4" s="55"/>
      <c r="D4" s="55"/>
      <c r="E4" s="55"/>
      <c r="F4" s="55"/>
      <c r="G4" s="55"/>
      <c r="H4" s="55"/>
      <c r="I4" s="56"/>
    </row>
    <row r="5" spans="2:10" ht="21" customHeight="1" x14ac:dyDescent="0.25">
      <c r="B5" s="57" t="s">
        <v>2</v>
      </c>
      <c r="C5" s="58"/>
      <c r="D5" s="58"/>
      <c r="E5" s="58"/>
      <c r="F5" s="58"/>
      <c r="G5" s="58"/>
      <c r="H5" s="58"/>
      <c r="I5" s="59"/>
    </row>
    <row r="6" spans="2:10" ht="15.75" x14ac:dyDescent="0.25">
      <c r="B6" s="68" t="s">
        <v>198</v>
      </c>
      <c r="C6" s="69"/>
      <c r="D6" s="69"/>
      <c r="E6" s="69"/>
      <c r="F6" s="69"/>
      <c r="G6" s="69"/>
      <c r="H6" s="69"/>
      <c r="I6" s="69"/>
    </row>
    <row r="7" spans="2:10" x14ac:dyDescent="0.25">
      <c r="B7" s="70" t="s">
        <v>18</v>
      </c>
      <c r="C7" s="71"/>
      <c r="D7" s="66" t="s">
        <v>199</v>
      </c>
      <c r="E7" s="67"/>
      <c r="F7" s="66" t="s">
        <v>202</v>
      </c>
      <c r="G7" s="67"/>
      <c r="H7" s="66" t="s">
        <v>205</v>
      </c>
      <c r="I7" s="67"/>
    </row>
    <row r="8" spans="2:10" x14ac:dyDescent="0.25">
      <c r="B8" s="72"/>
      <c r="C8" s="73"/>
      <c r="D8" s="16" t="s">
        <v>201</v>
      </c>
      <c r="E8" s="16" t="s">
        <v>200</v>
      </c>
      <c r="F8" s="16" t="s">
        <v>201</v>
      </c>
      <c r="G8" s="16" t="s">
        <v>200</v>
      </c>
      <c r="H8" s="16" t="s">
        <v>201</v>
      </c>
      <c r="I8" s="16" t="s">
        <v>200</v>
      </c>
    </row>
    <row r="9" spans="2:10" x14ac:dyDescent="0.25">
      <c r="B9" s="37">
        <v>1</v>
      </c>
      <c r="C9" s="36" t="s">
        <v>59</v>
      </c>
      <c r="D9" s="39">
        <v>0.27500000000000002</v>
      </c>
      <c r="E9" s="38">
        <f>D9*PO!$N12</f>
        <v>348.68900000000002</v>
      </c>
      <c r="F9" s="39">
        <v>0.36499999999999999</v>
      </c>
      <c r="G9" s="38">
        <f>F9*PO!$N12</f>
        <v>462.80540000000002</v>
      </c>
      <c r="H9" s="39">
        <v>0.36</v>
      </c>
      <c r="I9" s="38">
        <f>H9*PO!$N12</f>
        <v>456.46559999999999</v>
      </c>
      <c r="J9" s="43">
        <f>D9+F9+H9</f>
        <v>1</v>
      </c>
    </row>
    <row r="10" spans="2:10" x14ac:dyDescent="0.25">
      <c r="B10" s="37">
        <v>2</v>
      </c>
      <c r="C10" s="36" t="s">
        <v>50</v>
      </c>
      <c r="D10" s="39">
        <v>1</v>
      </c>
      <c r="E10" s="38">
        <f>D10*PO!$N16</f>
        <v>2528.4300000000003</v>
      </c>
      <c r="F10" s="39">
        <v>0</v>
      </c>
      <c r="G10" s="38">
        <f>F10*PO!$N16</f>
        <v>0</v>
      </c>
      <c r="H10" s="39">
        <v>0</v>
      </c>
      <c r="I10" s="38">
        <f>H10*PO!$N16</f>
        <v>0</v>
      </c>
      <c r="J10" s="43">
        <f t="shared" ref="J10:J19" si="0">D10+F10+H10</f>
        <v>1</v>
      </c>
    </row>
    <row r="11" spans="2:10" x14ac:dyDescent="0.25">
      <c r="B11" s="37">
        <v>3</v>
      </c>
      <c r="C11" s="36" t="s">
        <v>69</v>
      </c>
      <c r="D11" s="39">
        <v>0.8</v>
      </c>
      <c r="E11" s="38">
        <f>D11*PO!$N21</f>
        <v>2489.2720000000004</v>
      </c>
      <c r="F11" s="39">
        <v>0</v>
      </c>
      <c r="G11" s="38">
        <f>F11*PO!$N21</f>
        <v>0</v>
      </c>
      <c r="H11" s="39">
        <v>0.2</v>
      </c>
      <c r="I11" s="38">
        <f>H11*PO!$N21</f>
        <v>622.3180000000001</v>
      </c>
      <c r="J11" s="43">
        <f t="shared" si="0"/>
        <v>1</v>
      </c>
    </row>
    <row r="12" spans="2:10" x14ac:dyDescent="0.25">
      <c r="B12" s="37">
        <v>4</v>
      </c>
      <c r="C12" s="36" t="s">
        <v>70</v>
      </c>
      <c r="D12" s="39">
        <v>0.8</v>
      </c>
      <c r="E12" s="38">
        <f>D12*PO!$N35</f>
        <v>21968.36</v>
      </c>
      <c r="F12" s="39">
        <v>0.2</v>
      </c>
      <c r="G12" s="38">
        <f>F12*PO!$N35</f>
        <v>5492.09</v>
      </c>
      <c r="H12" s="39">
        <v>0</v>
      </c>
      <c r="I12" s="38">
        <f>H12*PO!$N35</f>
        <v>0</v>
      </c>
      <c r="J12" s="43">
        <f t="shared" si="0"/>
        <v>1</v>
      </c>
    </row>
    <row r="13" spans="2:10" x14ac:dyDescent="0.25">
      <c r="B13" s="37">
        <v>5</v>
      </c>
      <c r="C13" s="36" t="s">
        <v>107</v>
      </c>
      <c r="D13" s="39">
        <v>0</v>
      </c>
      <c r="E13" s="38">
        <f>D13*PO!$N41</f>
        <v>0</v>
      </c>
      <c r="F13" s="39">
        <v>0.6</v>
      </c>
      <c r="G13" s="38">
        <f>F13*PO!$N41</f>
        <v>32152.386000000002</v>
      </c>
      <c r="H13" s="39">
        <v>0.4</v>
      </c>
      <c r="I13" s="38">
        <f>H13*PO!$N41</f>
        <v>21434.924000000003</v>
      </c>
      <c r="J13" s="43">
        <f t="shared" si="0"/>
        <v>1</v>
      </c>
    </row>
    <row r="14" spans="2:10" x14ac:dyDescent="0.25">
      <c r="B14" s="37">
        <v>6</v>
      </c>
      <c r="C14" s="36" t="s">
        <v>110</v>
      </c>
      <c r="D14" s="39">
        <v>0</v>
      </c>
      <c r="E14" s="38">
        <f>D14*PO!$N48</f>
        <v>0</v>
      </c>
      <c r="F14" s="39">
        <v>0.2</v>
      </c>
      <c r="G14" s="38">
        <f>F14*PO!$N48</f>
        <v>7021.4639999999999</v>
      </c>
      <c r="H14" s="39">
        <v>0.8</v>
      </c>
      <c r="I14" s="38">
        <f>H14*PO!$N48</f>
        <v>28085.856</v>
      </c>
      <c r="J14" s="43">
        <f t="shared" si="0"/>
        <v>1</v>
      </c>
    </row>
    <row r="15" spans="2:10" x14ac:dyDescent="0.25">
      <c r="B15" s="37">
        <v>7</v>
      </c>
      <c r="C15" s="36" t="s">
        <v>111</v>
      </c>
      <c r="D15" s="39">
        <v>0.9</v>
      </c>
      <c r="E15" s="38">
        <f>D15*PO!$N52</f>
        <v>3300.2280000000001</v>
      </c>
      <c r="F15" s="39">
        <v>0.1</v>
      </c>
      <c r="G15" s="38">
        <f>F15*PO!$N52</f>
        <v>366.69200000000001</v>
      </c>
      <c r="H15" s="39">
        <v>0</v>
      </c>
      <c r="I15" s="38">
        <f>H15*PO!$N52</f>
        <v>0</v>
      </c>
      <c r="J15" s="43">
        <f t="shared" si="0"/>
        <v>1</v>
      </c>
    </row>
    <row r="16" spans="2:10" x14ac:dyDescent="0.25">
      <c r="B16" s="37">
        <v>8</v>
      </c>
      <c r="C16" s="36" t="s">
        <v>113</v>
      </c>
      <c r="D16" s="39">
        <v>0</v>
      </c>
      <c r="E16" s="38">
        <f>D16*PO!$N57</f>
        <v>0</v>
      </c>
      <c r="F16" s="39">
        <v>0</v>
      </c>
      <c r="G16" s="38">
        <f>F16*PO!$N57</f>
        <v>0</v>
      </c>
      <c r="H16" s="39">
        <v>1</v>
      </c>
      <c r="I16" s="38">
        <f>H16*PO!$N57</f>
        <v>309.51</v>
      </c>
      <c r="J16" s="43">
        <f t="shared" si="0"/>
        <v>1</v>
      </c>
    </row>
    <row r="17" spans="2:10" x14ac:dyDescent="0.25">
      <c r="B17" s="37">
        <v>9</v>
      </c>
      <c r="C17" s="36" t="s">
        <v>115</v>
      </c>
      <c r="D17" s="39">
        <v>0</v>
      </c>
      <c r="E17" s="38">
        <f>D17*PO!$N61</f>
        <v>0</v>
      </c>
      <c r="F17" s="39">
        <v>0.6</v>
      </c>
      <c r="G17" s="38">
        <f>F17*PO!$N61</f>
        <v>11940.395999999999</v>
      </c>
      <c r="H17" s="39">
        <v>0.4</v>
      </c>
      <c r="I17" s="38">
        <f>H17*PO!$N61</f>
        <v>7960.2640000000001</v>
      </c>
      <c r="J17" s="43">
        <f t="shared" si="0"/>
        <v>1</v>
      </c>
    </row>
    <row r="18" spans="2:10" x14ac:dyDescent="0.25">
      <c r="B18" s="37">
        <v>10</v>
      </c>
      <c r="C18" s="36" t="s">
        <v>117</v>
      </c>
      <c r="D18" s="39">
        <v>0</v>
      </c>
      <c r="E18" s="38">
        <f>D18*PO!$N66</f>
        <v>0</v>
      </c>
      <c r="F18" s="39">
        <v>0.6</v>
      </c>
      <c r="G18" s="38">
        <f>F18*PO!$N66</f>
        <v>4444.2</v>
      </c>
      <c r="H18" s="39">
        <v>0.4</v>
      </c>
      <c r="I18" s="38">
        <f>H18*PO!$N66</f>
        <v>2962.8</v>
      </c>
      <c r="J18" s="43">
        <f t="shared" si="0"/>
        <v>1</v>
      </c>
    </row>
    <row r="19" spans="2:10" x14ac:dyDescent="0.25">
      <c r="B19" s="37">
        <v>11</v>
      </c>
      <c r="C19" s="36" t="s">
        <v>119</v>
      </c>
      <c r="D19" s="39">
        <v>0</v>
      </c>
      <c r="E19" s="38">
        <f>D19*PO!$N71</f>
        <v>0</v>
      </c>
      <c r="F19" s="39">
        <v>0</v>
      </c>
      <c r="G19" s="38">
        <f>F19*PO!$N71</f>
        <v>0</v>
      </c>
      <c r="H19" s="39">
        <v>1</v>
      </c>
      <c r="I19" s="38">
        <f>H19*PO!$N71</f>
        <v>643.86</v>
      </c>
      <c r="J19" s="43">
        <f t="shared" si="0"/>
        <v>1</v>
      </c>
    </row>
    <row r="20" spans="2:10" ht="15" customHeight="1" x14ac:dyDescent="0.25">
      <c r="B20" s="65" t="s">
        <v>203</v>
      </c>
      <c r="C20" s="65"/>
      <c r="D20" s="40">
        <f>E20/PO!N72</f>
        <v>0.19765648988286483</v>
      </c>
      <c r="E20" s="41">
        <f>SUM(E9:E19)</f>
        <v>30634.978999999999</v>
      </c>
      <c r="F20" s="40">
        <f>G20/PO!N72</f>
        <v>0.39924917838783042</v>
      </c>
      <c r="G20" s="41">
        <f>SUM(G9:G19)</f>
        <v>61880.0334</v>
      </c>
      <c r="H20" s="40">
        <f>I20/PO!N72</f>
        <v>0.40309433172930492</v>
      </c>
      <c r="I20" s="41">
        <f>SUM(I9:I19)</f>
        <v>62475.99760000001</v>
      </c>
    </row>
    <row r="21" spans="2:10" ht="15" customHeight="1" x14ac:dyDescent="0.25">
      <c r="B21" s="65" t="s">
        <v>204</v>
      </c>
      <c r="C21" s="65"/>
      <c r="D21" s="43">
        <f>D20</f>
        <v>0.19765648988286483</v>
      </c>
      <c r="E21" s="41">
        <f>E20</f>
        <v>30634.978999999999</v>
      </c>
      <c r="F21" s="40">
        <f>G21/PO!N72</f>
        <v>0.59690566827069536</v>
      </c>
      <c r="G21" s="41">
        <f>E21+G20</f>
        <v>92515.012400000007</v>
      </c>
      <c r="H21" s="44">
        <f>I21/PO!N72</f>
        <v>1.0000000000000002</v>
      </c>
      <c r="I21" s="42">
        <f>G21+I20</f>
        <v>154991.01</v>
      </c>
    </row>
    <row r="23" spans="2:10" ht="15.75" x14ac:dyDescent="0.25">
      <c r="B23" s="33" t="s">
        <v>122</v>
      </c>
      <c r="G23" s="35" t="s">
        <v>125</v>
      </c>
      <c r="H23" s="45">
        <f ca="1">TODAY()</f>
        <v>45161</v>
      </c>
      <c r="I23" s="45"/>
    </row>
    <row r="24" spans="2:10" ht="15.75" x14ac:dyDescent="0.25">
      <c r="B24" s="34" t="s">
        <v>207</v>
      </c>
      <c r="G24"/>
      <c r="H24"/>
      <c r="I24"/>
    </row>
    <row r="25" spans="2:10" ht="15.75" x14ac:dyDescent="0.25">
      <c r="B25" s="34" t="s">
        <v>123</v>
      </c>
    </row>
    <row r="26" spans="2:10" ht="15.75" x14ac:dyDescent="0.25">
      <c r="B26" s="34" t="s">
        <v>211</v>
      </c>
    </row>
    <row r="27" spans="2:10" ht="15.75" x14ac:dyDescent="0.25">
      <c r="B27" s="34" t="s">
        <v>124</v>
      </c>
    </row>
  </sheetData>
  <mergeCells count="12">
    <mergeCell ref="B5:I5"/>
    <mergeCell ref="B4:I4"/>
    <mergeCell ref="B3:I3"/>
    <mergeCell ref="B2:I2"/>
    <mergeCell ref="B7:C8"/>
    <mergeCell ref="D7:E7"/>
    <mergeCell ref="F7:G7"/>
    <mergeCell ref="H23:I23"/>
    <mergeCell ref="B20:C20"/>
    <mergeCell ref="B21:C21"/>
    <mergeCell ref="H7:I7"/>
    <mergeCell ref="B6:I6"/>
  </mergeCells>
  <pageMargins left="0.51181102362204722" right="0.51181102362204722" top="0.78740157480314965" bottom="0.78740157480314965" header="0.31496062992125984" footer="0.31496062992125984"/>
  <pageSetup paperSize="9" scale="88" orientation="landscape" r:id="rId1"/>
  <ignoredErrors>
    <ignoredError sqref="E20:F20 G20:H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PO</vt:lpstr>
      <vt:lpstr>CPU</vt:lpstr>
      <vt:lpstr>Insumos_MAT</vt:lpstr>
      <vt:lpstr>Insumos_MO</vt:lpstr>
      <vt:lpstr>Cotações</vt:lpstr>
      <vt:lpstr>Cronograma</vt:lpstr>
      <vt:lpstr>Cotações!Area_de_impressao</vt:lpstr>
      <vt:lpstr>CPU!Area_de_impressao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Cristiane Oliveira</cp:lastModifiedBy>
  <cp:lastPrinted>2023-07-03T12:35:09Z</cp:lastPrinted>
  <dcterms:created xsi:type="dcterms:W3CDTF">2023-06-14T12:56:34Z</dcterms:created>
  <dcterms:modified xsi:type="dcterms:W3CDTF">2023-08-23T18:52:58Z</dcterms:modified>
</cp:coreProperties>
</file>