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/>
  <mc:AlternateContent xmlns:mc="http://schemas.openxmlformats.org/markup-compatibility/2006">
    <mc:Choice Requires="x15">
      <x15ac:absPath xmlns:x15ac="http://schemas.microsoft.com/office/spreadsheetml/2010/11/ac" url="C:\Users\eduardo.silva.TRIUNFORS\Desktop\Contratos\PROCESSO 2018_10_6556 - QORPO SANTO\Alex-nov.2018\"/>
    </mc:Choice>
  </mc:AlternateContent>
  <xr:revisionPtr revIDLastSave="0" documentId="13_ncr:1_{D15E870E-BE16-4F72-B5E8-77354DC5C4A6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ara licitação" sheetId="7" r:id="rId1"/>
    <sheet name="Cronograma" sheetId="8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10" roundtripDataSignature="AMtx7mis2s6SbRNlEjJFi2JMbV9TV+9U5A=="/>
    </ext>
  </extLst>
</workbook>
</file>

<file path=xl/calcChain.xml><?xml version="1.0" encoding="utf-8"?>
<calcChain xmlns="http://schemas.openxmlformats.org/spreadsheetml/2006/main">
  <c r="J691" i="7" l="1"/>
  <c r="I691" i="7"/>
  <c r="J685" i="7"/>
  <c r="I685" i="7"/>
  <c r="J683" i="7"/>
  <c r="I683" i="7"/>
  <c r="J681" i="7"/>
  <c r="I681" i="7"/>
  <c r="J679" i="7"/>
  <c r="I679" i="7"/>
  <c r="J673" i="7"/>
  <c r="I673" i="7"/>
  <c r="J671" i="7"/>
  <c r="I671" i="7"/>
  <c r="J669" i="7"/>
  <c r="I669" i="7"/>
  <c r="J667" i="7"/>
  <c r="I667" i="7"/>
  <c r="J665" i="7"/>
  <c r="I665" i="7"/>
  <c r="I645" i="7"/>
  <c r="J645" i="7"/>
  <c r="I647" i="7"/>
  <c r="J647" i="7"/>
  <c r="I649" i="7"/>
  <c r="J649" i="7"/>
  <c r="I651" i="7"/>
  <c r="J651" i="7"/>
  <c r="I653" i="7"/>
  <c r="J653" i="7"/>
  <c r="I655" i="7"/>
  <c r="J655" i="7"/>
  <c r="I657" i="7"/>
  <c r="J657" i="7"/>
  <c r="I659" i="7"/>
  <c r="J659" i="7"/>
  <c r="J643" i="7"/>
  <c r="I643" i="7"/>
  <c r="J641" i="7"/>
  <c r="I641" i="7"/>
  <c r="J635" i="7"/>
  <c r="I635" i="7"/>
  <c r="J633" i="7"/>
  <c r="I633" i="7"/>
  <c r="J627" i="7"/>
  <c r="J625" i="7"/>
  <c r="J623" i="7"/>
  <c r="I623" i="7"/>
  <c r="J617" i="7"/>
  <c r="I617" i="7"/>
  <c r="J611" i="7"/>
  <c r="I611" i="7"/>
  <c r="J609" i="7"/>
  <c r="I609" i="7"/>
  <c r="J605" i="7"/>
  <c r="I605" i="7"/>
  <c r="J603" i="7"/>
  <c r="I603" i="7"/>
  <c r="J577" i="7"/>
  <c r="J579" i="7"/>
  <c r="J581" i="7"/>
  <c r="I583" i="7"/>
  <c r="J583" i="7"/>
  <c r="I585" i="7"/>
  <c r="J585" i="7"/>
  <c r="J587" i="7"/>
  <c r="J589" i="7"/>
  <c r="I591" i="7"/>
  <c r="J591" i="7"/>
  <c r="J593" i="7"/>
  <c r="J595" i="7"/>
  <c r="J575" i="7"/>
  <c r="I575" i="7"/>
  <c r="J573" i="7"/>
  <c r="I573" i="7"/>
  <c r="J571" i="7"/>
  <c r="J565" i="7"/>
  <c r="I565" i="7"/>
  <c r="J559" i="7"/>
  <c r="I559" i="7"/>
  <c r="J557" i="7"/>
  <c r="I557" i="7"/>
  <c r="J555" i="7"/>
  <c r="I555" i="7"/>
  <c r="J553" i="7"/>
  <c r="I553" i="7"/>
  <c r="J551" i="7"/>
  <c r="I551" i="7"/>
  <c r="J549" i="7"/>
  <c r="I549" i="7"/>
  <c r="J547" i="7"/>
  <c r="I547" i="7"/>
  <c r="J545" i="7"/>
  <c r="I545" i="7"/>
  <c r="I529" i="7"/>
  <c r="J529" i="7"/>
  <c r="I531" i="7"/>
  <c r="J531" i="7"/>
  <c r="I533" i="7"/>
  <c r="J533" i="7"/>
  <c r="I535" i="7"/>
  <c r="J535" i="7"/>
  <c r="I537" i="7"/>
  <c r="J537" i="7"/>
  <c r="I539" i="7"/>
  <c r="J539" i="7"/>
  <c r="J527" i="7"/>
  <c r="I527" i="7"/>
  <c r="J525" i="7"/>
  <c r="I525" i="7"/>
  <c r="J523" i="7"/>
  <c r="I523" i="7"/>
  <c r="I415" i="7"/>
  <c r="J415" i="7"/>
  <c r="I417" i="7"/>
  <c r="J417" i="7"/>
  <c r="I419" i="7"/>
  <c r="J419" i="7"/>
  <c r="I421" i="7"/>
  <c r="J421" i="7"/>
  <c r="I423" i="7"/>
  <c r="J423" i="7"/>
  <c r="I425" i="7"/>
  <c r="J425" i="7"/>
  <c r="I427" i="7"/>
  <c r="J427" i="7"/>
  <c r="I429" i="7"/>
  <c r="J429" i="7"/>
  <c r="I431" i="7"/>
  <c r="J431" i="7"/>
  <c r="I433" i="7"/>
  <c r="J433" i="7"/>
  <c r="I435" i="7"/>
  <c r="J435" i="7"/>
  <c r="I437" i="7"/>
  <c r="J437" i="7"/>
  <c r="I439" i="7"/>
  <c r="J439" i="7"/>
  <c r="I441" i="7"/>
  <c r="J441" i="7"/>
  <c r="I443" i="7"/>
  <c r="J443" i="7"/>
  <c r="I445" i="7"/>
  <c r="J445" i="7"/>
  <c r="I447" i="7"/>
  <c r="J447" i="7"/>
  <c r="I449" i="7"/>
  <c r="J449" i="7"/>
  <c r="I451" i="7"/>
  <c r="J451" i="7"/>
  <c r="I453" i="7"/>
  <c r="J453" i="7"/>
  <c r="I455" i="7"/>
  <c r="J455" i="7"/>
  <c r="I457" i="7"/>
  <c r="J457" i="7"/>
  <c r="I459" i="7"/>
  <c r="J459" i="7"/>
  <c r="I461" i="7"/>
  <c r="J461" i="7"/>
  <c r="I463" i="7"/>
  <c r="J463" i="7"/>
  <c r="I465" i="7"/>
  <c r="J465" i="7"/>
  <c r="I467" i="7"/>
  <c r="J467" i="7"/>
  <c r="I469" i="7"/>
  <c r="J469" i="7"/>
  <c r="I471" i="7"/>
  <c r="J471" i="7"/>
  <c r="I473" i="7"/>
  <c r="J473" i="7"/>
  <c r="I475" i="7"/>
  <c r="J475" i="7"/>
  <c r="I477" i="7"/>
  <c r="J477" i="7"/>
  <c r="I479" i="7"/>
  <c r="J479" i="7"/>
  <c r="I481" i="7"/>
  <c r="J481" i="7"/>
  <c r="I483" i="7"/>
  <c r="J483" i="7"/>
  <c r="I485" i="7"/>
  <c r="J485" i="7"/>
  <c r="I487" i="7"/>
  <c r="J487" i="7"/>
  <c r="I489" i="7"/>
  <c r="J489" i="7"/>
  <c r="I491" i="7"/>
  <c r="J491" i="7"/>
  <c r="I493" i="7"/>
  <c r="J493" i="7"/>
  <c r="I495" i="7"/>
  <c r="J495" i="7"/>
  <c r="I497" i="7"/>
  <c r="J497" i="7"/>
  <c r="I499" i="7"/>
  <c r="J499" i="7"/>
  <c r="I501" i="7"/>
  <c r="J501" i="7"/>
  <c r="I503" i="7"/>
  <c r="J503" i="7"/>
  <c r="I505" i="7"/>
  <c r="J505" i="7"/>
  <c r="I507" i="7"/>
  <c r="J507" i="7"/>
  <c r="I509" i="7"/>
  <c r="J509" i="7"/>
  <c r="I511" i="7"/>
  <c r="J511" i="7"/>
  <c r="I513" i="7"/>
  <c r="J513" i="7"/>
  <c r="J515" i="7"/>
  <c r="I517" i="7"/>
  <c r="J517" i="7"/>
  <c r="J413" i="7"/>
  <c r="I413" i="7"/>
  <c r="J411" i="7"/>
  <c r="I411" i="7"/>
  <c r="J409" i="7"/>
  <c r="I409" i="7"/>
  <c r="J403" i="7"/>
  <c r="I403" i="7"/>
  <c r="J395" i="7"/>
  <c r="J393" i="7"/>
  <c r="I393" i="7"/>
  <c r="J383" i="7"/>
  <c r="I383" i="7"/>
  <c r="J371" i="7"/>
  <c r="I371" i="7"/>
  <c r="J369" i="7"/>
  <c r="I369" i="7"/>
  <c r="J365" i="7"/>
  <c r="I365" i="7"/>
  <c r="J363" i="7"/>
  <c r="I363" i="7"/>
  <c r="J361" i="7"/>
  <c r="I361" i="7"/>
  <c r="J353" i="7"/>
  <c r="I353" i="7"/>
  <c r="J351" i="7"/>
  <c r="I351" i="7"/>
  <c r="J347" i="7"/>
  <c r="I347" i="7"/>
  <c r="J345" i="7"/>
  <c r="I345" i="7"/>
  <c r="J339" i="7"/>
  <c r="I339" i="7"/>
  <c r="J337" i="7"/>
  <c r="I337" i="7"/>
  <c r="J335" i="7"/>
  <c r="I335" i="7"/>
  <c r="J333" i="7"/>
  <c r="I333" i="7"/>
  <c r="J323" i="7"/>
  <c r="I323" i="7"/>
  <c r="J321" i="7"/>
  <c r="I321" i="7"/>
  <c r="J319" i="7"/>
  <c r="I319" i="7"/>
  <c r="J317" i="7"/>
  <c r="I317" i="7"/>
  <c r="J309" i="7"/>
  <c r="I309" i="7"/>
  <c r="J291" i="7"/>
  <c r="I291" i="7"/>
  <c r="J285" i="7"/>
  <c r="I285" i="7"/>
  <c r="J283" i="7"/>
  <c r="I283" i="7"/>
  <c r="J281" i="7"/>
  <c r="I281" i="7"/>
  <c r="J279" i="7"/>
  <c r="I279" i="7"/>
  <c r="J277" i="7"/>
  <c r="I277" i="7"/>
  <c r="J275" i="7"/>
  <c r="I275" i="7"/>
  <c r="J273" i="7"/>
  <c r="I273" i="7"/>
  <c r="J271" i="7"/>
  <c r="I271" i="7"/>
  <c r="J269" i="7"/>
  <c r="I269" i="7"/>
  <c r="J267" i="7"/>
  <c r="I267" i="7"/>
  <c r="J265" i="7"/>
  <c r="I265" i="7"/>
  <c r="J263" i="7"/>
  <c r="I263" i="7"/>
  <c r="J261" i="7"/>
  <c r="I261" i="7"/>
  <c r="J259" i="7"/>
  <c r="I259" i="7"/>
  <c r="J257" i="7"/>
  <c r="I257" i="7"/>
  <c r="J255" i="7"/>
  <c r="I255" i="7"/>
  <c r="J253" i="7"/>
  <c r="I253" i="7"/>
  <c r="J251" i="7"/>
  <c r="I251" i="7"/>
  <c r="J249" i="7"/>
  <c r="I249" i="7"/>
  <c r="J247" i="7"/>
  <c r="I247" i="7"/>
  <c r="J245" i="7"/>
  <c r="I245" i="7"/>
  <c r="J237" i="7"/>
  <c r="I237" i="7"/>
  <c r="J227" i="7"/>
  <c r="I227" i="7"/>
  <c r="J225" i="7"/>
  <c r="I225" i="7"/>
  <c r="J223" i="7"/>
  <c r="I223" i="7"/>
  <c r="J221" i="7"/>
  <c r="I221" i="7"/>
  <c r="J219" i="7"/>
  <c r="I219" i="7"/>
  <c r="J217" i="7"/>
  <c r="I217" i="7"/>
  <c r="J215" i="7"/>
  <c r="I215" i="7"/>
  <c r="J213" i="7"/>
  <c r="I213" i="7"/>
  <c r="J211" i="7"/>
  <c r="I211" i="7"/>
  <c r="J209" i="7"/>
  <c r="I209" i="7"/>
  <c r="J207" i="7"/>
  <c r="I207" i="7"/>
  <c r="J205" i="7"/>
  <c r="I205" i="7"/>
  <c r="J203" i="7"/>
  <c r="I203" i="7"/>
  <c r="J201" i="7"/>
  <c r="I201" i="7"/>
  <c r="J199" i="7"/>
  <c r="I199" i="7"/>
  <c r="J197" i="7"/>
  <c r="I197" i="7"/>
  <c r="J195" i="7"/>
  <c r="I195" i="7"/>
  <c r="J193" i="7"/>
  <c r="I193" i="7"/>
  <c r="J191" i="7"/>
  <c r="I191" i="7"/>
  <c r="J189" i="7"/>
  <c r="I189" i="7"/>
  <c r="J187" i="7"/>
  <c r="I187" i="7"/>
  <c r="J185" i="7"/>
  <c r="I185" i="7"/>
  <c r="J183" i="7"/>
  <c r="I183" i="7"/>
  <c r="J181" i="7"/>
  <c r="I181" i="7"/>
  <c r="J179" i="7"/>
  <c r="I179" i="7"/>
  <c r="J177" i="7"/>
  <c r="I177" i="7"/>
  <c r="J171" i="7"/>
  <c r="I171" i="7"/>
  <c r="J169" i="7"/>
  <c r="I169" i="7"/>
  <c r="J167" i="7"/>
  <c r="I167" i="7"/>
  <c r="J165" i="7"/>
  <c r="I165" i="7"/>
  <c r="J163" i="7"/>
  <c r="I163" i="7"/>
  <c r="J161" i="7"/>
  <c r="I161" i="7"/>
  <c r="J159" i="7"/>
  <c r="I159" i="7"/>
  <c r="J151" i="7"/>
  <c r="J149" i="7"/>
  <c r="J147" i="7"/>
  <c r="J145" i="7"/>
  <c r="I145" i="7"/>
  <c r="J141" i="7"/>
  <c r="J131" i="7"/>
  <c r="J129" i="7"/>
  <c r="J123" i="7"/>
  <c r="I123" i="7"/>
  <c r="J121" i="7"/>
  <c r="I121" i="7"/>
  <c r="J117" i="7"/>
  <c r="J115" i="7"/>
  <c r="J113" i="7"/>
  <c r="I113" i="7"/>
  <c r="J107" i="7"/>
  <c r="I107" i="7"/>
  <c r="J101" i="7"/>
  <c r="I101" i="7"/>
  <c r="J99" i="7"/>
  <c r="I99" i="7"/>
  <c r="J95" i="7"/>
  <c r="I95" i="7"/>
  <c r="J93" i="7"/>
  <c r="I93" i="7"/>
  <c r="J91" i="7"/>
  <c r="I91" i="7"/>
  <c r="J89" i="7"/>
  <c r="I89" i="7"/>
  <c r="J87" i="7"/>
  <c r="I87" i="7"/>
  <c r="J85" i="7"/>
  <c r="I85" i="7"/>
  <c r="J77" i="7"/>
  <c r="I77" i="7"/>
  <c r="J75" i="7"/>
  <c r="I75" i="7"/>
  <c r="J73" i="7"/>
  <c r="I73" i="7"/>
  <c r="J67" i="7"/>
  <c r="I67" i="7"/>
  <c r="J65" i="7"/>
  <c r="J63" i="7"/>
  <c r="J61" i="7"/>
  <c r="J59" i="7"/>
  <c r="I59" i="7"/>
  <c r="J57" i="7"/>
  <c r="I57" i="7"/>
  <c r="J51" i="7"/>
  <c r="J49" i="7"/>
  <c r="J47" i="7"/>
  <c r="I47" i="7"/>
  <c r="J45" i="7"/>
  <c r="I45" i="7"/>
  <c r="J43" i="7"/>
  <c r="I43" i="7"/>
  <c r="J41" i="7"/>
  <c r="I41" i="7"/>
  <c r="J39" i="7"/>
  <c r="J33" i="7"/>
  <c r="J31" i="7"/>
  <c r="J25" i="7"/>
  <c r="J19" i="7"/>
  <c r="I19" i="7"/>
  <c r="J17" i="7"/>
  <c r="I17" i="7"/>
  <c r="J15" i="7"/>
  <c r="I15" i="7"/>
  <c r="J13" i="7"/>
  <c r="I13" i="7"/>
  <c r="J9" i="7"/>
  <c r="J7" i="7"/>
  <c r="J5" i="7"/>
  <c r="I5" i="7"/>
  <c r="K333" i="7" l="1"/>
  <c r="K335" i="7"/>
  <c r="K337" i="7"/>
  <c r="K339" i="7"/>
  <c r="K345" i="7"/>
  <c r="K347" i="7"/>
  <c r="K351" i="7"/>
  <c r="K353" i="7"/>
  <c r="K361" i="7"/>
  <c r="K363" i="7"/>
  <c r="K365" i="7"/>
  <c r="G692" i="7" l="1"/>
  <c r="F692" i="7"/>
  <c r="G686" i="7"/>
  <c r="F686" i="7"/>
  <c r="I686" i="7" s="1"/>
  <c r="G684" i="7"/>
  <c r="J684" i="7" s="1"/>
  <c r="F684" i="7"/>
  <c r="G682" i="7"/>
  <c r="J682" i="7" s="1"/>
  <c r="F682" i="7"/>
  <c r="I682" i="7" s="1"/>
  <c r="G680" i="7"/>
  <c r="J680" i="7" s="1"/>
  <c r="F680" i="7"/>
  <c r="G674" i="7"/>
  <c r="J674" i="7" s="1"/>
  <c r="F674" i="7"/>
  <c r="I674" i="7" s="1"/>
  <c r="G672" i="7"/>
  <c r="J672" i="7" s="1"/>
  <c r="F672" i="7"/>
  <c r="I672" i="7" s="1"/>
  <c r="G670" i="7"/>
  <c r="J670" i="7" s="1"/>
  <c r="F670" i="7"/>
  <c r="I670" i="7" s="1"/>
  <c r="G668" i="7"/>
  <c r="J668" i="7" s="1"/>
  <c r="F668" i="7"/>
  <c r="G666" i="7"/>
  <c r="F666" i="7"/>
  <c r="I666" i="7" s="1"/>
  <c r="G660" i="7"/>
  <c r="J660" i="7" s="1"/>
  <c r="F660" i="7"/>
  <c r="I660" i="7" s="1"/>
  <c r="G658" i="7"/>
  <c r="J658" i="7" s="1"/>
  <c r="F658" i="7"/>
  <c r="G656" i="7"/>
  <c r="F656" i="7"/>
  <c r="I656" i="7" s="1"/>
  <c r="G654" i="7"/>
  <c r="J654" i="7" s="1"/>
  <c r="F654" i="7"/>
  <c r="G652" i="7"/>
  <c r="J652" i="7" s="1"/>
  <c r="F652" i="7"/>
  <c r="I652" i="7" s="1"/>
  <c r="G650" i="7"/>
  <c r="J650" i="7" s="1"/>
  <c r="F650" i="7"/>
  <c r="G648" i="7"/>
  <c r="J648" i="7" s="1"/>
  <c r="F648" i="7"/>
  <c r="I648" i="7" s="1"/>
  <c r="G646" i="7"/>
  <c r="J646" i="7" s="1"/>
  <c r="F646" i="7"/>
  <c r="I646" i="7" s="1"/>
  <c r="G644" i="7"/>
  <c r="J644" i="7" s="1"/>
  <c r="F644" i="7"/>
  <c r="I644" i="7" s="1"/>
  <c r="G642" i="7"/>
  <c r="J642" i="7" s="1"/>
  <c r="F642" i="7"/>
  <c r="G636" i="7"/>
  <c r="J636" i="7" s="1"/>
  <c r="F636" i="7"/>
  <c r="I636" i="7" s="1"/>
  <c r="G634" i="7"/>
  <c r="J634" i="7" s="1"/>
  <c r="F634" i="7"/>
  <c r="G628" i="7"/>
  <c r="J628" i="7" s="1"/>
  <c r="F627" i="7"/>
  <c r="G626" i="7"/>
  <c r="J626" i="7" s="1"/>
  <c r="F625" i="7"/>
  <c r="G624" i="7"/>
  <c r="F624" i="7"/>
  <c r="I624" i="7" s="1"/>
  <c r="G618" i="7"/>
  <c r="F618" i="7"/>
  <c r="I618" i="7" s="1"/>
  <c r="I620" i="7" s="1"/>
  <c r="G612" i="7"/>
  <c r="J612" i="7" s="1"/>
  <c r="F612" i="7"/>
  <c r="G610" i="7"/>
  <c r="J610" i="7" s="1"/>
  <c r="F610" i="7"/>
  <c r="I610" i="7" s="1"/>
  <c r="G607" i="7"/>
  <c r="F607" i="7"/>
  <c r="G606" i="7"/>
  <c r="J606" i="7" s="1"/>
  <c r="F606" i="7"/>
  <c r="I606" i="7" s="1"/>
  <c r="G604" i="7"/>
  <c r="J604" i="7" s="1"/>
  <c r="F604" i="7"/>
  <c r="G601" i="7"/>
  <c r="F601" i="7"/>
  <c r="G596" i="7"/>
  <c r="J596" i="7" s="1"/>
  <c r="F595" i="7"/>
  <c r="G594" i="7"/>
  <c r="J594" i="7" s="1"/>
  <c r="F593" i="7"/>
  <c r="G592" i="7"/>
  <c r="J592" i="7" s="1"/>
  <c r="F592" i="7"/>
  <c r="G590" i="7"/>
  <c r="J590" i="7" s="1"/>
  <c r="F589" i="7"/>
  <c r="G588" i="7"/>
  <c r="J588" i="7" s="1"/>
  <c r="F587" i="7"/>
  <c r="G586" i="7"/>
  <c r="J586" i="7" s="1"/>
  <c r="F586" i="7"/>
  <c r="G584" i="7"/>
  <c r="J584" i="7" s="1"/>
  <c r="F584" i="7"/>
  <c r="G582" i="7"/>
  <c r="J582" i="7" s="1"/>
  <c r="F581" i="7"/>
  <c r="G580" i="7"/>
  <c r="J580" i="7" s="1"/>
  <c r="F579" i="7"/>
  <c r="G578" i="7"/>
  <c r="J578" i="7" s="1"/>
  <c r="F577" i="7"/>
  <c r="I577" i="7" s="1"/>
  <c r="G576" i="7"/>
  <c r="J576" i="7" s="1"/>
  <c r="F576" i="7"/>
  <c r="G574" i="7"/>
  <c r="J574" i="7" s="1"/>
  <c r="F574" i="7"/>
  <c r="I574" i="7" s="1"/>
  <c r="G572" i="7"/>
  <c r="J572" i="7" s="1"/>
  <c r="F571" i="7"/>
  <c r="G566" i="7"/>
  <c r="J566" i="7" s="1"/>
  <c r="F566" i="7"/>
  <c r="G560" i="7"/>
  <c r="J560" i="7" s="1"/>
  <c r="F560" i="7"/>
  <c r="G558" i="7"/>
  <c r="J558" i="7" s="1"/>
  <c r="F558" i="7"/>
  <c r="I558" i="7" s="1"/>
  <c r="G556" i="7"/>
  <c r="J556" i="7" s="1"/>
  <c r="F556" i="7"/>
  <c r="I556" i="7" s="1"/>
  <c r="G554" i="7"/>
  <c r="J554" i="7" s="1"/>
  <c r="F554" i="7"/>
  <c r="I554" i="7" s="1"/>
  <c r="G552" i="7"/>
  <c r="J552" i="7" s="1"/>
  <c r="F552" i="7"/>
  <c r="G550" i="7"/>
  <c r="J550" i="7" s="1"/>
  <c r="F550" i="7"/>
  <c r="I550" i="7" s="1"/>
  <c r="G548" i="7"/>
  <c r="J548" i="7" s="1"/>
  <c r="F548" i="7"/>
  <c r="I548" i="7" s="1"/>
  <c r="G546" i="7"/>
  <c r="J546" i="7" s="1"/>
  <c r="F546" i="7"/>
  <c r="G540" i="7"/>
  <c r="J540" i="7" s="1"/>
  <c r="F540" i="7"/>
  <c r="I540" i="7" s="1"/>
  <c r="G538" i="7"/>
  <c r="J538" i="7" s="1"/>
  <c r="F538" i="7"/>
  <c r="I538" i="7" s="1"/>
  <c r="G536" i="7"/>
  <c r="J536" i="7" s="1"/>
  <c r="F536" i="7"/>
  <c r="I536" i="7" s="1"/>
  <c r="G534" i="7"/>
  <c r="J534" i="7" s="1"/>
  <c r="F534" i="7"/>
  <c r="G532" i="7"/>
  <c r="F532" i="7"/>
  <c r="I532" i="7" s="1"/>
  <c r="G530" i="7"/>
  <c r="J530" i="7" s="1"/>
  <c r="F530" i="7"/>
  <c r="I530" i="7" s="1"/>
  <c r="G528" i="7"/>
  <c r="J528" i="7" s="1"/>
  <c r="F528" i="7"/>
  <c r="G526" i="7"/>
  <c r="J526" i="7" s="1"/>
  <c r="F526" i="7"/>
  <c r="I526" i="7" s="1"/>
  <c r="G524" i="7"/>
  <c r="J524" i="7" s="1"/>
  <c r="F524" i="7"/>
  <c r="G518" i="7"/>
  <c r="J518" i="7" s="1"/>
  <c r="F518" i="7"/>
  <c r="I518" i="7" s="1"/>
  <c r="G516" i="7"/>
  <c r="J516" i="7" s="1"/>
  <c r="F515" i="7"/>
  <c r="G514" i="7"/>
  <c r="J514" i="7" s="1"/>
  <c r="F514" i="7"/>
  <c r="G512" i="7"/>
  <c r="J512" i="7" s="1"/>
  <c r="F512" i="7"/>
  <c r="G510" i="7"/>
  <c r="J510" i="7" s="1"/>
  <c r="F510" i="7"/>
  <c r="I510" i="7" s="1"/>
  <c r="G508" i="7"/>
  <c r="J508" i="7" s="1"/>
  <c r="F508" i="7"/>
  <c r="I508" i="7" s="1"/>
  <c r="G506" i="7"/>
  <c r="J506" i="7" s="1"/>
  <c r="F506" i="7"/>
  <c r="I506" i="7" s="1"/>
  <c r="G504" i="7"/>
  <c r="J504" i="7" s="1"/>
  <c r="F504" i="7"/>
  <c r="I504" i="7" s="1"/>
  <c r="G502" i="7"/>
  <c r="J502" i="7" s="1"/>
  <c r="F502" i="7"/>
  <c r="G500" i="7"/>
  <c r="J500" i="7" s="1"/>
  <c r="F500" i="7"/>
  <c r="G498" i="7"/>
  <c r="J498" i="7" s="1"/>
  <c r="F498" i="7"/>
  <c r="I498" i="7" s="1"/>
  <c r="G496" i="7"/>
  <c r="J496" i="7" s="1"/>
  <c r="F496" i="7"/>
  <c r="G494" i="7"/>
  <c r="J494" i="7" s="1"/>
  <c r="F494" i="7"/>
  <c r="I494" i="7" s="1"/>
  <c r="G492" i="7"/>
  <c r="J492" i="7" s="1"/>
  <c r="F492" i="7"/>
  <c r="G490" i="7"/>
  <c r="J490" i="7" s="1"/>
  <c r="F490" i="7"/>
  <c r="G488" i="7"/>
  <c r="J488" i="7" s="1"/>
  <c r="F488" i="7"/>
  <c r="G486" i="7"/>
  <c r="J486" i="7" s="1"/>
  <c r="F486" i="7"/>
  <c r="I486" i="7" s="1"/>
  <c r="G484" i="7"/>
  <c r="J484" i="7" s="1"/>
  <c r="F484" i="7"/>
  <c r="G482" i="7"/>
  <c r="J482" i="7" s="1"/>
  <c r="F482" i="7"/>
  <c r="G480" i="7"/>
  <c r="J480" i="7" s="1"/>
  <c r="F480" i="7"/>
  <c r="G478" i="7"/>
  <c r="J478" i="7" s="1"/>
  <c r="F478" i="7"/>
  <c r="I478" i="7" s="1"/>
  <c r="G476" i="7"/>
  <c r="J476" i="7" s="1"/>
  <c r="F476" i="7"/>
  <c r="I476" i="7" s="1"/>
  <c r="G474" i="7"/>
  <c r="J474" i="7" s="1"/>
  <c r="F474" i="7"/>
  <c r="I474" i="7" s="1"/>
  <c r="G472" i="7"/>
  <c r="J472" i="7" s="1"/>
  <c r="F472" i="7"/>
  <c r="I472" i="7" s="1"/>
  <c r="G470" i="7"/>
  <c r="J470" i="7" s="1"/>
  <c r="F470" i="7"/>
  <c r="G468" i="7"/>
  <c r="J468" i="7" s="1"/>
  <c r="F468" i="7"/>
  <c r="G466" i="7"/>
  <c r="J466" i="7" s="1"/>
  <c r="F466" i="7"/>
  <c r="I466" i="7" s="1"/>
  <c r="G464" i="7"/>
  <c r="J464" i="7" s="1"/>
  <c r="F464" i="7"/>
  <c r="G462" i="7"/>
  <c r="J462" i="7" s="1"/>
  <c r="F462" i="7"/>
  <c r="I462" i="7" s="1"/>
  <c r="G460" i="7"/>
  <c r="J460" i="7" s="1"/>
  <c r="F460" i="7"/>
  <c r="G458" i="7"/>
  <c r="J458" i="7" s="1"/>
  <c r="F458" i="7"/>
  <c r="G456" i="7"/>
  <c r="J456" i="7" s="1"/>
  <c r="F456" i="7"/>
  <c r="G454" i="7"/>
  <c r="J454" i="7" s="1"/>
  <c r="F454" i="7"/>
  <c r="I454" i="7" s="1"/>
  <c r="G452" i="7"/>
  <c r="J452" i="7" s="1"/>
  <c r="F452" i="7"/>
  <c r="G450" i="7"/>
  <c r="J450" i="7" s="1"/>
  <c r="F450" i="7"/>
  <c r="G448" i="7"/>
  <c r="J448" i="7" s="1"/>
  <c r="F448" i="7"/>
  <c r="I448" i="7" s="1"/>
  <c r="G446" i="7"/>
  <c r="J446" i="7" s="1"/>
  <c r="F446" i="7"/>
  <c r="I446" i="7" s="1"/>
  <c r="G444" i="7"/>
  <c r="F444" i="7"/>
  <c r="I444" i="7" s="1"/>
  <c r="G442" i="7"/>
  <c r="J442" i="7" s="1"/>
  <c r="F442" i="7"/>
  <c r="I442" i="7" s="1"/>
  <c r="G440" i="7"/>
  <c r="J440" i="7" s="1"/>
  <c r="F440" i="7"/>
  <c r="I440" i="7" s="1"/>
  <c r="G438" i="7"/>
  <c r="J438" i="7" s="1"/>
  <c r="F438" i="7"/>
  <c r="G436" i="7"/>
  <c r="J436" i="7" s="1"/>
  <c r="F436" i="7"/>
  <c r="I436" i="7" s="1"/>
  <c r="G434" i="7"/>
  <c r="J434" i="7" s="1"/>
  <c r="F434" i="7"/>
  <c r="I434" i="7" s="1"/>
  <c r="G432" i="7"/>
  <c r="J432" i="7" s="1"/>
  <c r="F432" i="7"/>
  <c r="G430" i="7"/>
  <c r="J430" i="7" s="1"/>
  <c r="F430" i="7"/>
  <c r="I430" i="7" s="1"/>
  <c r="G428" i="7"/>
  <c r="J428" i="7" s="1"/>
  <c r="F428" i="7"/>
  <c r="G426" i="7"/>
  <c r="J426" i="7" s="1"/>
  <c r="F426" i="7"/>
  <c r="G424" i="7"/>
  <c r="J424" i="7" s="1"/>
  <c r="F424" i="7"/>
  <c r="G422" i="7"/>
  <c r="F422" i="7"/>
  <c r="I422" i="7" s="1"/>
  <c r="G420" i="7"/>
  <c r="J420" i="7" s="1"/>
  <c r="F420" i="7"/>
  <c r="G418" i="7"/>
  <c r="J418" i="7" s="1"/>
  <c r="F418" i="7"/>
  <c r="I418" i="7" s="1"/>
  <c r="G416" i="7"/>
  <c r="J416" i="7" s="1"/>
  <c r="F416" i="7"/>
  <c r="G414" i="7"/>
  <c r="F414" i="7"/>
  <c r="I414" i="7" s="1"/>
  <c r="G412" i="7"/>
  <c r="J412" i="7" s="1"/>
  <c r="F412" i="7"/>
  <c r="I412" i="7" s="1"/>
  <c r="G410" i="7"/>
  <c r="J410" i="7" s="1"/>
  <c r="F410" i="7"/>
  <c r="I410" i="7" s="1"/>
  <c r="G404" i="7"/>
  <c r="J404" i="7" s="1"/>
  <c r="F404" i="7"/>
  <c r="G401" i="7"/>
  <c r="F401" i="7"/>
  <c r="G399" i="7"/>
  <c r="F399" i="7"/>
  <c r="G397" i="7"/>
  <c r="F397" i="7"/>
  <c r="G396" i="7"/>
  <c r="J396" i="7" s="1"/>
  <c r="F395" i="7"/>
  <c r="G394" i="7"/>
  <c r="J394" i="7" s="1"/>
  <c r="F394" i="7"/>
  <c r="I394" i="7" s="1"/>
  <c r="G387" i="7"/>
  <c r="F387" i="7"/>
  <c r="G385" i="7"/>
  <c r="F385" i="7"/>
  <c r="G384" i="7"/>
  <c r="J384" i="7" s="1"/>
  <c r="F384" i="7"/>
  <c r="I384" i="7" s="1"/>
  <c r="G381" i="7"/>
  <c r="F381" i="7"/>
  <c r="G379" i="7"/>
  <c r="F379" i="7"/>
  <c r="G377" i="7"/>
  <c r="F377" i="7"/>
  <c r="G375" i="7"/>
  <c r="F375" i="7"/>
  <c r="G373" i="7"/>
  <c r="F373" i="7"/>
  <c r="G372" i="7"/>
  <c r="J372" i="7" s="1"/>
  <c r="F372" i="7"/>
  <c r="I372" i="7" s="1"/>
  <c r="G370" i="7"/>
  <c r="J370" i="7" s="1"/>
  <c r="F370" i="7"/>
  <c r="G364" i="7"/>
  <c r="J364" i="7" s="1"/>
  <c r="F364" i="7"/>
  <c r="G362" i="7"/>
  <c r="J362" i="7" s="1"/>
  <c r="F362" i="7"/>
  <c r="I362" i="7" s="1"/>
  <c r="G359" i="7"/>
  <c r="F359" i="7"/>
  <c r="G357" i="7"/>
  <c r="F357" i="7"/>
  <c r="G355" i="7"/>
  <c r="F355" i="7"/>
  <c r="G354" i="7"/>
  <c r="J354" i="7" s="1"/>
  <c r="F354" i="7"/>
  <c r="G352" i="7"/>
  <c r="F352" i="7"/>
  <c r="I352" i="7" s="1"/>
  <c r="G349" i="7"/>
  <c r="F349" i="7"/>
  <c r="G348" i="7"/>
  <c r="F348" i="7"/>
  <c r="I348" i="7" s="1"/>
  <c r="G346" i="7"/>
  <c r="J346" i="7" s="1"/>
  <c r="F346" i="7"/>
  <c r="I346" i="7" s="1"/>
  <c r="G343" i="7"/>
  <c r="J343" i="7" s="1"/>
  <c r="F343" i="7"/>
  <c r="G341" i="7"/>
  <c r="F341" i="7"/>
  <c r="G340" i="7"/>
  <c r="J340" i="7" s="1"/>
  <c r="F340" i="7"/>
  <c r="G338" i="7"/>
  <c r="J338" i="7" s="1"/>
  <c r="F338" i="7"/>
  <c r="I338" i="7" s="1"/>
  <c r="G336" i="7"/>
  <c r="J336" i="7" s="1"/>
  <c r="F336" i="7"/>
  <c r="G334" i="7"/>
  <c r="J334" i="7" s="1"/>
  <c r="F334" i="7"/>
  <c r="I334" i="7" s="1"/>
  <c r="G331" i="7"/>
  <c r="F331" i="7"/>
  <c r="G329" i="7"/>
  <c r="F329" i="7"/>
  <c r="G327" i="7"/>
  <c r="F327" i="7"/>
  <c r="G325" i="7"/>
  <c r="F325" i="7"/>
  <c r="G324" i="7"/>
  <c r="J324" i="7" s="1"/>
  <c r="F324" i="7"/>
  <c r="G322" i="7"/>
  <c r="J322" i="7" s="1"/>
  <c r="F322" i="7"/>
  <c r="I322" i="7" s="1"/>
  <c r="G320" i="7"/>
  <c r="J320" i="7" s="1"/>
  <c r="F320" i="7"/>
  <c r="G318" i="7"/>
  <c r="J318" i="7" s="1"/>
  <c r="F318" i="7"/>
  <c r="I318" i="7" s="1"/>
  <c r="G315" i="7"/>
  <c r="F315" i="7"/>
  <c r="G313" i="7"/>
  <c r="J313" i="7" s="1"/>
  <c r="F313" i="7"/>
  <c r="G311" i="7"/>
  <c r="F311" i="7"/>
  <c r="G310" i="7"/>
  <c r="F310" i="7"/>
  <c r="I310" i="7" s="1"/>
  <c r="G307" i="7"/>
  <c r="F307" i="7"/>
  <c r="G301" i="7"/>
  <c r="F301" i="7"/>
  <c r="G299" i="7"/>
  <c r="F299" i="7"/>
  <c r="G297" i="7"/>
  <c r="F297" i="7"/>
  <c r="G295" i="7"/>
  <c r="F295" i="7"/>
  <c r="G293" i="7"/>
  <c r="F293" i="7"/>
  <c r="G292" i="7"/>
  <c r="J292" i="7" s="1"/>
  <c r="F292" i="7"/>
  <c r="G289" i="7"/>
  <c r="F289" i="7"/>
  <c r="G287" i="7"/>
  <c r="F287" i="7"/>
  <c r="G286" i="7"/>
  <c r="J286" i="7" s="1"/>
  <c r="F286" i="7"/>
  <c r="I286" i="7" s="1"/>
  <c r="G284" i="7"/>
  <c r="J284" i="7" s="1"/>
  <c r="F284" i="7"/>
  <c r="I284" i="7" s="1"/>
  <c r="G282" i="7"/>
  <c r="J282" i="7" s="1"/>
  <c r="F282" i="7"/>
  <c r="I282" i="7" s="1"/>
  <c r="G280" i="7"/>
  <c r="J280" i="7" s="1"/>
  <c r="F280" i="7"/>
  <c r="G278" i="7"/>
  <c r="F278" i="7"/>
  <c r="I278" i="7" s="1"/>
  <c r="G276" i="7"/>
  <c r="F276" i="7"/>
  <c r="I276" i="7" s="1"/>
  <c r="G274" i="7"/>
  <c r="J274" i="7" s="1"/>
  <c r="F274" i="7"/>
  <c r="G272" i="7"/>
  <c r="J272" i="7" s="1"/>
  <c r="F272" i="7"/>
  <c r="I272" i="7" s="1"/>
  <c r="G270" i="7"/>
  <c r="J270" i="7" s="1"/>
  <c r="F270" i="7"/>
  <c r="I270" i="7" s="1"/>
  <c r="G268" i="7"/>
  <c r="J268" i="7" s="1"/>
  <c r="F268" i="7"/>
  <c r="I268" i="7" s="1"/>
  <c r="G266" i="7"/>
  <c r="J266" i="7" s="1"/>
  <c r="F266" i="7"/>
  <c r="G264" i="7"/>
  <c r="J264" i="7" s="1"/>
  <c r="F264" i="7"/>
  <c r="I264" i="7" s="1"/>
  <c r="G262" i="7"/>
  <c r="J262" i="7" s="1"/>
  <c r="F262" i="7"/>
  <c r="G260" i="7"/>
  <c r="J260" i="7" s="1"/>
  <c r="F260" i="7"/>
  <c r="I260" i="7" s="1"/>
  <c r="G258" i="7"/>
  <c r="J258" i="7" s="1"/>
  <c r="F258" i="7"/>
  <c r="I258" i="7" s="1"/>
  <c r="G256" i="7"/>
  <c r="J256" i="7" s="1"/>
  <c r="F256" i="7"/>
  <c r="I256" i="7" s="1"/>
  <c r="G254" i="7"/>
  <c r="J254" i="7" s="1"/>
  <c r="F254" i="7"/>
  <c r="G252" i="7"/>
  <c r="J252" i="7" s="1"/>
  <c r="F252" i="7"/>
  <c r="I252" i="7" s="1"/>
  <c r="G250" i="7"/>
  <c r="J250" i="7" s="1"/>
  <c r="F250" i="7"/>
  <c r="G248" i="7"/>
  <c r="J248" i="7" s="1"/>
  <c r="F248" i="7"/>
  <c r="I248" i="7" s="1"/>
  <c r="G246" i="7"/>
  <c r="J246" i="7" s="1"/>
  <c r="F246" i="7"/>
  <c r="G243" i="7"/>
  <c r="F243" i="7"/>
  <c r="G241" i="7"/>
  <c r="F241" i="7"/>
  <c r="G239" i="7"/>
  <c r="F239" i="7"/>
  <c r="G238" i="7"/>
  <c r="J238" i="7" s="1"/>
  <c r="F238" i="7"/>
  <c r="G231" i="7"/>
  <c r="F231" i="7"/>
  <c r="G229" i="7"/>
  <c r="F229" i="7"/>
  <c r="G228" i="7"/>
  <c r="F228" i="7"/>
  <c r="I228" i="7" s="1"/>
  <c r="G226" i="7"/>
  <c r="J226" i="7" s="1"/>
  <c r="F226" i="7"/>
  <c r="I226" i="7" s="1"/>
  <c r="G224" i="7"/>
  <c r="J224" i="7" s="1"/>
  <c r="F224" i="7"/>
  <c r="I224" i="7" s="1"/>
  <c r="G222" i="7"/>
  <c r="J222" i="7" s="1"/>
  <c r="F222" i="7"/>
  <c r="G220" i="7"/>
  <c r="J220" i="7" s="1"/>
  <c r="F220" i="7"/>
  <c r="I220" i="7" s="1"/>
  <c r="G218" i="7"/>
  <c r="J218" i="7" s="1"/>
  <c r="F218" i="7"/>
  <c r="I218" i="7" s="1"/>
  <c r="G216" i="7"/>
  <c r="J216" i="7" s="1"/>
  <c r="F216" i="7"/>
  <c r="G214" i="7"/>
  <c r="J214" i="7" s="1"/>
  <c r="F214" i="7"/>
  <c r="G212" i="7"/>
  <c r="J212" i="7" s="1"/>
  <c r="F212" i="7"/>
  <c r="I212" i="7" s="1"/>
  <c r="G210" i="7"/>
  <c r="J210" i="7" s="1"/>
  <c r="F210" i="7"/>
  <c r="I210" i="7" s="1"/>
  <c r="G208" i="7"/>
  <c r="J208" i="7" s="1"/>
  <c r="F208" i="7"/>
  <c r="G206" i="7"/>
  <c r="J206" i="7" s="1"/>
  <c r="F206" i="7"/>
  <c r="I206" i="7" s="1"/>
  <c r="G204" i="7"/>
  <c r="J204" i="7" s="1"/>
  <c r="F204" i="7"/>
  <c r="I204" i="7" s="1"/>
  <c r="G202" i="7"/>
  <c r="J202" i="7" s="1"/>
  <c r="F202" i="7"/>
  <c r="I202" i="7" s="1"/>
  <c r="G200" i="7"/>
  <c r="J200" i="7" s="1"/>
  <c r="F200" i="7"/>
  <c r="G198" i="7"/>
  <c r="F198" i="7"/>
  <c r="I198" i="7" s="1"/>
  <c r="G196" i="7"/>
  <c r="J196" i="7" s="1"/>
  <c r="F196" i="7"/>
  <c r="G194" i="7"/>
  <c r="J194" i="7" s="1"/>
  <c r="F194" i="7"/>
  <c r="I194" i="7" s="1"/>
  <c r="G192" i="7"/>
  <c r="J192" i="7" s="1"/>
  <c r="F192" i="7"/>
  <c r="G190" i="7"/>
  <c r="J190" i="7" s="1"/>
  <c r="F190" i="7"/>
  <c r="I190" i="7" s="1"/>
  <c r="G188" i="7"/>
  <c r="J188" i="7" s="1"/>
  <c r="F188" i="7"/>
  <c r="I188" i="7" s="1"/>
  <c r="G186" i="7"/>
  <c r="J186" i="7" s="1"/>
  <c r="F186" i="7"/>
  <c r="I186" i="7" s="1"/>
  <c r="G184" i="7"/>
  <c r="J184" i="7" s="1"/>
  <c r="F184" i="7"/>
  <c r="I184" i="7" s="1"/>
  <c r="G182" i="7"/>
  <c r="J182" i="7" s="1"/>
  <c r="F182" i="7"/>
  <c r="I182" i="7" s="1"/>
  <c r="G180" i="7"/>
  <c r="J180" i="7" s="1"/>
  <c r="F180" i="7"/>
  <c r="G178" i="7"/>
  <c r="F178" i="7"/>
  <c r="I178" i="7" s="1"/>
  <c r="G172" i="7"/>
  <c r="J172" i="7" s="1"/>
  <c r="F172" i="7"/>
  <c r="I172" i="7" s="1"/>
  <c r="G170" i="7"/>
  <c r="J170" i="7" s="1"/>
  <c r="F170" i="7"/>
  <c r="G168" i="7"/>
  <c r="F168" i="7"/>
  <c r="I168" i="7" s="1"/>
  <c r="G166" i="7"/>
  <c r="J166" i="7" s="1"/>
  <c r="F166" i="7"/>
  <c r="I166" i="7" s="1"/>
  <c r="G164" i="7"/>
  <c r="J164" i="7" s="1"/>
  <c r="F164" i="7"/>
  <c r="I164" i="7" s="1"/>
  <c r="G162" i="7"/>
  <c r="J162" i="7" s="1"/>
  <c r="F162" i="7"/>
  <c r="G160" i="7"/>
  <c r="J160" i="7" s="1"/>
  <c r="F160" i="7"/>
  <c r="I160" i="7" s="1"/>
  <c r="G153" i="7"/>
  <c r="F153" i="7"/>
  <c r="G152" i="7"/>
  <c r="J152" i="7" s="1"/>
  <c r="F151" i="7"/>
  <c r="G150" i="7"/>
  <c r="J150" i="7" s="1"/>
  <c r="F149" i="7"/>
  <c r="F147" i="7"/>
  <c r="I147" i="7" s="1"/>
  <c r="E147" i="7"/>
  <c r="G148" i="7" s="1"/>
  <c r="J148" i="7" s="1"/>
  <c r="G146" i="7"/>
  <c r="J146" i="7" s="1"/>
  <c r="F146" i="7"/>
  <c r="I146" i="7" s="1"/>
  <c r="G143" i="7"/>
  <c r="F143" i="7"/>
  <c r="F141" i="7"/>
  <c r="I141" i="7" s="1"/>
  <c r="E141" i="7"/>
  <c r="G139" i="7"/>
  <c r="F139" i="7"/>
  <c r="G137" i="7"/>
  <c r="F137" i="7"/>
  <c r="G135" i="7"/>
  <c r="F135" i="7"/>
  <c r="G133" i="7"/>
  <c r="J133" i="7" s="1"/>
  <c r="F133" i="7"/>
  <c r="F131" i="7"/>
  <c r="I131" i="7" s="1"/>
  <c r="E131" i="7"/>
  <c r="G132" i="7" s="1"/>
  <c r="J132" i="7" s="1"/>
  <c r="F129" i="7"/>
  <c r="I129" i="7" s="1"/>
  <c r="E129" i="7"/>
  <c r="G130" i="7" s="1"/>
  <c r="J130" i="7" s="1"/>
  <c r="E123" i="7"/>
  <c r="G124" i="7" s="1"/>
  <c r="J124" i="7" s="1"/>
  <c r="E121" i="7"/>
  <c r="G122" i="7" s="1"/>
  <c r="J122" i="7" s="1"/>
  <c r="G119" i="7"/>
  <c r="F119" i="7"/>
  <c r="I119" i="7" s="1"/>
  <c r="F117" i="7"/>
  <c r="E117" i="7"/>
  <c r="G118" i="7" s="1"/>
  <c r="J118" i="7" s="1"/>
  <c r="F115" i="7"/>
  <c r="I115" i="7" s="1"/>
  <c r="E115" i="7"/>
  <c r="E113" i="7"/>
  <c r="E107" i="7"/>
  <c r="F108" i="7" s="1"/>
  <c r="G102" i="7"/>
  <c r="J102" i="7" s="1"/>
  <c r="F102" i="7"/>
  <c r="I102" i="7" s="1"/>
  <c r="G100" i="7"/>
  <c r="J100" i="7" s="1"/>
  <c r="F100" i="7"/>
  <c r="I100" i="7" s="1"/>
  <c r="G97" i="7"/>
  <c r="F97" i="7"/>
  <c r="G96" i="7"/>
  <c r="J96" i="7" s="1"/>
  <c r="F96" i="7"/>
  <c r="I96" i="7" s="1"/>
  <c r="G94" i="7"/>
  <c r="F94" i="7"/>
  <c r="I94" i="7" s="1"/>
  <c r="G92" i="7"/>
  <c r="J92" i="7" s="1"/>
  <c r="F92" i="7"/>
  <c r="I92" i="7" s="1"/>
  <c r="G90" i="7"/>
  <c r="J90" i="7" s="1"/>
  <c r="F90" i="7"/>
  <c r="I90" i="7" s="1"/>
  <c r="G88" i="7"/>
  <c r="J88" i="7" s="1"/>
  <c r="F88" i="7"/>
  <c r="I88" i="7" s="1"/>
  <c r="G86" i="7"/>
  <c r="J86" i="7" s="1"/>
  <c r="F86" i="7"/>
  <c r="I86" i="7" s="1"/>
  <c r="G83" i="7"/>
  <c r="F83" i="7"/>
  <c r="G81" i="7"/>
  <c r="F81" i="7"/>
  <c r="G79" i="7"/>
  <c r="F79" i="7"/>
  <c r="I79" i="7" s="1"/>
  <c r="G78" i="7"/>
  <c r="J78" i="7" s="1"/>
  <c r="F78" i="7"/>
  <c r="I78" i="7" s="1"/>
  <c r="G76" i="7"/>
  <c r="J76" i="7" s="1"/>
  <c r="F76" i="7"/>
  <c r="I76" i="7" s="1"/>
  <c r="G74" i="7"/>
  <c r="J74" i="7" s="1"/>
  <c r="F74" i="7"/>
  <c r="E67" i="7"/>
  <c r="G68" i="7" s="1"/>
  <c r="J68" i="7" s="1"/>
  <c r="F65" i="7"/>
  <c r="I65" i="7" s="1"/>
  <c r="E65" i="7"/>
  <c r="F63" i="7"/>
  <c r="I63" i="7" s="1"/>
  <c r="E63" i="7"/>
  <c r="G62" i="7"/>
  <c r="J62" i="7" s="1"/>
  <c r="F61" i="7"/>
  <c r="E59" i="7"/>
  <c r="E57" i="7"/>
  <c r="F51" i="7"/>
  <c r="I51" i="7" s="1"/>
  <c r="E51" i="7"/>
  <c r="G52" i="7" s="1"/>
  <c r="J52" i="7" s="1"/>
  <c r="F49" i="7"/>
  <c r="I49" i="7" s="1"/>
  <c r="E49" i="7"/>
  <c r="G50" i="7" s="1"/>
  <c r="J50" i="7" s="1"/>
  <c r="E47" i="7"/>
  <c r="G48" i="7" s="1"/>
  <c r="J48" i="7" s="1"/>
  <c r="E45" i="7"/>
  <c r="G46" i="7" s="1"/>
  <c r="J46" i="7" s="1"/>
  <c r="E43" i="7"/>
  <c r="G44" i="7" s="1"/>
  <c r="J44" i="7" s="1"/>
  <c r="E41" i="7"/>
  <c r="G42" i="7" s="1"/>
  <c r="J42" i="7" s="1"/>
  <c r="F39" i="7"/>
  <c r="I39" i="7" s="1"/>
  <c r="E39" i="7"/>
  <c r="G40" i="7" s="1"/>
  <c r="J40" i="7" s="1"/>
  <c r="G34" i="7"/>
  <c r="F33" i="7"/>
  <c r="G32" i="7"/>
  <c r="J32" i="7" s="1"/>
  <c r="F31" i="7"/>
  <c r="G26" i="7"/>
  <c r="F25" i="7"/>
  <c r="E19" i="7"/>
  <c r="G20" i="7" s="1"/>
  <c r="J20" i="7" s="1"/>
  <c r="G18" i="7"/>
  <c r="J18" i="7" s="1"/>
  <c r="F18" i="7"/>
  <c r="I18" i="7" s="1"/>
  <c r="G16" i="7"/>
  <c r="J16" i="7" s="1"/>
  <c r="F16" i="7"/>
  <c r="I16" i="7" s="1"/>
  <c r="G14" i="7"/>
  <c r="J14" i="7" s="1"/>
  <c r="F14" i="7"/>
  <c r="I14" i="7" s="1"/>
  <c r="G10" i="7"/>
  <c r="J10" i="7" s="1"/>
  <c r="F9" i="7"/>
  <c r="G8" i="7"/>
  <c r="J8" i="7" s="1"/>
  <c r="F7" i="7"/>
  <c r="G6" i="7"/>
  <c r="J6" i="7" s="1"/>
  <c r="F6" i="7"/>
  <c r="I6" i="7" s="1"/>
  <c r="K536" i="7" l="1"/>
  <c r="K548" i="7"/>
  <c r="K556" i="7"/>
  <c r="G314" i="7"/>
  <c r="J314" i="7" s="1"/>
  <c r="K318" i="7"/>
  <c r="K322" i="7"/>
  <c r="K92" i="7"/>
  <c r="K100" i="7"/>
  <c r="K88" i="7"/>
  <c r="K96" i="7"/>
  <c r="G108" i="7"/>
  <c r="H108" i="7" s="1"/>
  <c r="K16" i="7"/>
  <c r="K160" i="7"/>
  <c r="K172" i="7"/>
  <c r="K184" i="7"/>
  <c r="K188" i="7"/>
  <c r="K204" i="7"/>
  <c r="K212" i="7"/>
  <c r="K220" i="7"/>
  <c r="K224" i="7"/>
  <c r="K248" i="7"/>
  <c r="K252" i="7"/>
  <c r="K256" i="7"/>
  <c r="K260" i="7"/>
  <c r="K264" i="7"/>
  <c r="K268" i="7"/>
  <c r="K272" i="7"/>
  <c r="K284" i="7"/>
  <c r="K6" i="7"/>
  <c r="K606" i="7"/>
  <c r="K610" i="7"/>
  <c r="K646" i="7"/>
  <c r="K670" i="7"/>
  <c r="K682" i="7"/>
  <c r="I528" i="7"/>
  <c r="H528" i="7"/>
  <c r="K78" i="7"/>
  <c r="J379" i="7"/>
  <c r="G380" i="7"/>
  <c r="K384" i="7"/>
  <c r="K412" i="7"/>
  <c r="K436" i="7"/>
  <c r="K440" i="7"/>
  <c r="K448" i="7"/>
  <c r="K472" i="7"/>
  <c r="K476" i="7"/>
  <c r="K504" i="7"/>
  <c r="K508" i="7"/>
  <c r="F64" i="7"/>
  <c r="I64" i="7" s="1"/>
  <c r="K430" i="7"/>
  <c r="K446" i="7"/>
  <c r="K454" i="7"/>
  <c r="K462" i="7"/>
  <c r="K478" i="7"/>
  <c r="K486" i="7"/>
  <c r="K494" i="7"/>
  <c r="K510" i="7"/>
  <c r="J54" i="7"/>
  <c r="F10" i="7"/>
  <c r="I10" i="7" s="1"/>
  <c r="K10" i="7" s="1"/>
  <c r="I9" i="7"/>
  <c r="G28" i="7"/>
  <c r="J26" i="7"/>
  <c r="J28" i="7" s="1"/>
  <c r="G36" i="7"/>
  <c r="J34" i="7"/>
  <c r="G82" i="7"/>
  <c r="J82" i="7" s="1"/>
  <c r="J81" i="7"/>
  <c r="F98" i="7"/>
  <c r="I97" i="7"/>
  <c r="F118" i="7"/>
  <c r="I118" i="7" s="1"/>
  <c r="I117" i="7"/>
  <c r="F138" i="7"/>
  <c r="I138" i="7" s="1"/>
  <c r="I137" i="7"/>
  <c r="F150" i="7"/>
  <c r="I150" i="7" s="1"/>
  <c r="I149" i="7"/>
  <c r="F154" i="7"/>
  <c r="I153" i="7"/>
  <c r="H162" i="7"/>
  <c r="I162" i="7"/>
  <c r="H170" i="7"/>
  <c r="I170" i="7"/>
  <c r="K170" i="7" s="1"/>
  <c r="H214" i="7"/>
  <c r="I214" i="7"/>
  <c r="K214" i="7" s="1"/>
  <c r="H222" i="7"/>
  <c r="I222" i="7"/>
  <c r="K222" i="7" s="1"/>
  <c r="F230" i="7"/>
  <c r="I230" i="7" s="1"/>
  <c r="I229" i="7"/>
  <c r="H238" i="7"/>
  <c r="I238" i="7"/>
  <c r="K238" i="7" s="1"/>
  <c r="F242" i="7"/>
  <c r="I241" i="7"/>
  <c r="H246" i="7"/>
  <c r="I246" i="7"/>
  <c r="K246" i="7" s="1"/>
  <c r="H250" i="7"/>
  <c r="I250" i="7"/>
  <c r="K250" i="7" s="1"/>
  <c r="H254" i="7"/>
  <c r="I254" i="7"/>
  <c r="K254" i="7" s="1"/>
  <c r="H262" i="7"/>
  <c r="I262" i="7"/>
  <c r="K262" i="7" s="1"/>
  <c r="H266" i="7"/>
  <c r="I266" i="7"/>
  <c r="K266" i="7" s="1"/>
  <c r="H274" i="7"/>
  <c r="I274" i="7"/>
  <c r="K274" i="7" s="1"/>
  <c r="G288" i="7"/>
  <c r="J288" i="7" s="1"/>
  <c r="J287" i="7"/>
  <c r="G296" i="7"/>
  <c r="J296" i="7" s="1"/>
  <c r="J295" i="7"/>
  <c r="G300" i="7"/>
  <c r="J300" i="7" s="1"/>
  <c r="J299" i="7"/>
  <c r="G308" i="7"/>
  <c r="J308" i="7" s="1"/>
  <c r="J307" i="7"/>
  <c r="G312" i="7"/>
  <c r="J312" i="7" s="1"/>
  <c r="J311" i="7"/>
  <c r="F316" i="7"/>
  <c r="I315" i="7"/>
  <c r="H320" i="7"/>
  <c r="I320" i="7"/>
  <c r="K320" i="7" s="1"/>
  <c r="H324" i="7"/>
  <c r="I324" i="7"/>
  <c r="F328" i="7"/>
  <c r="I327" i="7"/>
  <c r="F332" i="7"/>
  <c r="I332" i="7" s="1"/>
  <c r="I331" i="7"/>
  <c r="H336" i="7"/>
  <c r="I336" i="7"/>
  <c r="H340" i="7"/>
  <c r="I340" i="7"/>
  <c r="F344" i="7"/>
  <c r="I344" i="7" s="1"/>
  <c r="I343" i="7"/>
  <c r="K343" i="7" s="1"/>
  <c r="G350" i="7"/>
  <c r="J350" i="7" s="1"/>
  <c r="J349" i="7"/>
  <c r="G358" i="7"/>
  <c r="J358" i="7" s="1"/>
  <c r="J357" i="7"/>
  <c r="G374" i="7"/>
  <c r="J374" i="7" s="1"/>
  <c r="J373" i="7"/>
  <c r="G378" i="7"/>
  <c r="J378" i="7" s="1"/>
  <c r="J377" i="7"/>
  <c r="F382" i="7"/>
  <c r="I382" i="7" s="1"/>
  <c r="I381" i="7"/>
  <c r="F386" i="7"/>
  <c r="I386" i="7" s="1"/>
  <c r="I385" i="7"/>
  <c r="F398" i="7"/>
  <c r="I398" i="7" s="1"/>
  <c r="I397" i="7"/>
  <c r="F402" i="7"/>
  <c r="H402" i="7" s="1"/>
  <c r="I401" i="7"/>
  <c r="H426" i="7"/>
  <c r="I426" i="7"/>
  <c r="K426" i="7" s="1"/>
  <c r="H438" i="7"/>
  <c r="I438" i="7"/>
  <c r="K438" i="7" s="1"/>
  <c r="H450" i="7"/>
  <c r="I450" i="7"/>
  <c r="K450" i="7" s="1"/>
  <c r="H458" i="7"/>
  <c r="I458" i="7"/>
  <c r="K458" i="7" s="1"/>
  <c r="H470" i="7"/>
  <c r="I470" i="7"/>
  <c r="K470" i="7" s="1"/>
  <c r="H482" i="7"/>
  <c r="I482" i="7"/>
  <c r="K482" i="7" s="1"/>
  <c r="H490" i="7"/>
  <c r="I490" i="7"/>
  <c r="K490" i="7" s="1"/>
  <c r="H502" i="7"/>
  <c r="I502" i="7"/>
  <c r="K502" i="7" s="1"/>
  <c r="H514" i="7"/>
  <c r="I514" i="7"/>
  <c r="K514" i="7" s="1"/>
  <c r="K518" i="7"/>
  <c r="H532" i="7"/>
  <c r="J532" i="7"/>
  <c r="K532" i="7" s="1"/>
  <c r="K540" i="7"/>
  <c r="H560" i="7"/>
  <c r="I560" i="7"/>
  <c r="F572" i="7"/>
  <c r="I571" i="7"/>
  <c r="H576" i="7"/>
  <c r="I576" i="7"/>
  <c r="K576" i="7" s="1"/>
  <c r="G602" i="7"/>
  <c r="J602" i="7" s="1"/>
  <c r="J601" i="7"/>
  <c r="G620" i="7"/>
  <c r="J618" i="7"/>
  <c r="H666" i="7"/>
  <c r="J666" i="7"/>
  <c r="K666" i="7" s="1"/>
  <c r="H686" i="7"/>
  <c r="J686" i="7"/>
  <c r="H6" i="7"/>
  <c r="K14" i="7"/>
  <c r="K18" i="7"/>
  <c r="F32" i="7"/>
  <c r="I31" i="7"/>
  <c r="F68" i="7"/>
  <c r="K76" i="7"/>
  <c r="G80" i="7"/>
  <c r="J80" i="7" s="1"/>
  <c r="J79" i="7"/>
  <c r="K86" i="7"/>
  <c r="K90" i="7"/>
  <c r="H94" i="7"/>
  <c r="J94" i="7"/>
  <c r="K94" i="7" s="1"/>
  <c r="G98" i="7"/>
  <c r="J97" i="7"/>
  <c r="K102" i="7"/>
  <c r="G134" i="7"/>
  <c r="J134" i="7" s="1"/>
  <c r="G138" i="7"/>
  <c r="J138" i="7" s="1"/>
  <c r="J137" i="7"/>
  <c r="K146" i="7"/>
  <c r="K150" i="7"/>
  <c r="G154" i="7"/>
  <c r="J154" i="7" s="1"/>
  <c r="J153" i="7"/>
  <c r="K166" i="7"/>
  <c r="H178" i="7"/>
  <c r="J178" i="7"/>
  <c r="K178" i="7" s="1"/>
  <c r="K182" i="7"/>
  <c r="K186" i="7"/>
  <c r="K190" i="7"/>
  <c r="K194" i="7"/>
  <c r="H198" i="7"/>
  <c r="J198" i="7"/>
  <c r="K198" i="7" s="1"/>
  <c r="K202" i="7"/>
  <c r="K206" i="7"/>
  <c r="K210" i="7"/>
  <c r="K218" i="7"/>
  <c r="K226" i="7"/>
  <c r="G230" i="7"/>
  <c r="J230" i="7" s="1"/>
  <c r="K230" i="7" s="1"/>
  <c r="J229" i="7"/>
  <c r="G242" i="7"/>
  <c r="J242" i="7" s="1"/>
  <c r="J241" i="7"/>
  <c r="K258" i="7"/>
  <c r="K270" i="7"/>
  <c r="H278" i="7"/>
  <c r="J278" i="7"/>
  <c r="K278" i="7" s="1"/>
  <c r="K282" i="7"/>
  <c r="F290" i="7"/>
  <c r="I290" i="7" s="1"/>
  <c r="I289" i="7"/>
  <c r="F294" i="7"/>
  <c r="I294" i="7" s="1"/>
  <c r="I293" i="7"/>
  <c r="F298" i="7"/>
  <c r="I298" i="7" s="1"/>
  <c r="I297" i="7"/>
  <c r="F302" i="7"/>
  <c r="I302" i="7" s="1"/>
  <c r="I301" i="7"/>
  <c r="F314" i="7"/>
  <c r="I314" i="7" s="1"/>
  <c r="I313" i="7"/>
  <c r="G316" i="7"/>
  <c r="J316" i="7" s="1"/>
  <c r="J315" i="7"/>
  <c r="G328" i="7"/>
  <c r="J328" i="7" s="1"/>
  <c r="J327" i="7"/>
  <c r="G332" i="7"/>
  <c r="J332" i="7" s="1"/>
  <c r="J331" i="7"/>
  <c r="F356" i="7"/>
  <c r="I355" i="7"/>
  <c r="F360" i="7"/>
  <c r="I359" i="7"/>
  <c r="H364" i="7"/>
  <c r="I364" i="7"/>
  <c r="F376" i="7"/>
  <c r="I375" i="7"/>
  <c r="F380" i="7"/>
  <c r="I380" i="7" s="1"/>
  <c r="I379" i="7"/>
  <c r="G382" i="7"/>
  <c r="J382" i="7" s="1"/>
  <c r="K382" i="7" s="1"/>
  <c r="J381" i="7"/>
  <c r="G386" i="7"/>
  <c r="J386" i="7" s="1"/>
  <c r="J385" i="7"/>
  <c r="K394" i="7"/>
  <c r="G398" i="7"/>
  <c r="J398" i="7" s="1"/>
  <c r="K398" i="7" s="1"/>
  <c r="J397" i="7"/>
  <c r="G402" i="7"/>
  <c r="J402" i="7" s="1"/>
  <c r="J401" i="7"/>
  <c r="K410" i="7"/>
  <c r="H414" i="7"/>
  <c r="J414" i="7"/>
  <c r="K414" i="7" s="1"/>
  <c r="K418" i="7"/>
  <c r="H422" i="7"/>
  <c r="J422" i="7"/>
  <c r="K422" i="7" s="1"/>
  <c r="K434" i="7"/>
  <c r="K442" i="7"/>
  <c r="K466" i="7"/>
  <c r="K474" i="7"/>
  <c r="K498" i="7"/>
  <c r="K506" i="7"/>
  <c r="K526" i="7"/>
  <c r="H534" i="7"/>
  <c r="I534" i="7"/>
  <c r="K534" i="7" s="1"/>
  <c r="K560" i="7"/>
  <c r="J562" i="7"/>
  <c r="F580" i="7"/>
  <c r="I580" i="7" s="1"/>
  <c r="K580" i="7" s="1"/>
  <c r="I579" i="7"/>
  <c r="F588" i="7"/>
  <c r="I587" i="7"/>
  <c r="H592" i="7"/>
  <c r="I592" i="7"/>
  <c r="K592" i="7" s="1"/>
  <c r="H604" i="7"/>
  <c r="I604" i="7"/>
  <c r="K604" i="7" s="1"/>
  <c r="H612" i="7"/>
  <c r="I612" i="7"/>
  <c r="F628" i="7"/>
  <c r="I627" i="7"/>
  <c r="F694" i="7"/>
  <c r="I692" i="7"/>
  <c r="I694" i="7" s="1"/>
  <c r="F8" i="7"/>
  <c r="I7" i="7"/>
  <c r="F62" i="7"/>
  <c r="I61" i="7"/>
  <c r="F66" i="7"/>
  <c r="I66" i="7" s="1"/>
  <c r="H74" i="7"/>
  <c r="I74" i="7"/>
  <c r="K74" i="7" s="1"/>
  <c r="F80" i="7"/>
  <c r="I80" i="7" s="1"/>
  <c r="F84" i="7"/>
  <c r="I84" i="7" s="1"/>
  <c r="I83" i="7"/>
  <c r="F110" i="7"/>
  <c r="I108" i="7"/>
  <c r="I110" i="7" s="1"/>
  <c r="G120" i="7"/>
  <c r="J120" i="7" s="1"/>
  <c r="J119" i="7"/>
  <c r="F124" i="7"/>
  <c r="F136" i="7"/>
  <c r="I136" i="7" s="1"/>
  <c r="I135" i="7"/>
  <c r="F140" i="7"/>
  <c r="I139" i="7"/>
  <c r="F144" i="7"/>
  <c r="I144" i="7" s="1"/>
  <c r="I143" i="7"/>
  <c r="F152" i="7"/>
  <c r="I152" i="7" s="1"/>
  <c r="I151" i="7"/>
  <c r="H180" i="7"/>
  <c r="I180" i="7"/>
  <c r="K180" i="7" s="1"/>
  <c r="H192" i="7"/>
  <c r="I192" i="7"/>
  <c r="K192" i="7" s="1"/>
  <c r="H196" i="7"/>
  <c r="I196" i="7"/>
  <c r="H200" i="7"/>
  <c r="I200" i="7"/>
  <c r="K200" i="7" s="1"/>
  <c r="H208" i="7"/>
  <c r="I208" i="7"/>
  <c r="K208" i="7" s="1"/>
  <c r="H216" i="7"/>
  <c r="I216" i="7"/>
  <c r="K216" i="7" s="1"/>
  <c r="F232" i="7"/>
  <c r="I232" i="7" s="1"/>
  <c r="I231" i="7"/>
  <c r="F240" i="7"/>
  <c r="I240" i="7" s="1"/>
  <c r="I239" i="7"/>
  <c r="F244" i="7"/>
  <c r="I244" i="7" s="1"/>
  <c r="I243" i="7"/>
  <c r="H280" i="7"/>
  <c r="I280" i="7"/>
  <c r="K280" i="7" s="1"/>
  <c r="H282" i="7"/>
  <c r="K286" i="7"/>
  <c r="G290" i="7"/>
  <c r="J290" i="7" s="1"/>
  <c r="J289" i="7"/>
  <c r="G294" i="7"/>
  <c r="J293" i="7"/>
  <c r="G298" i="7"/>
  <c r="J298" i="7" s="1"/>
  <c r="J297" i="7"/>
  <c r="G302" i="7"/>
  <c r="H302" i="7" s="1"/>
  <c r="J301" i="7"/>
  <c r="H310" i="7"/>
  <c r="J310" i="7"/>
  <c r="K310" i="7" s="1"/>
  <c r="F326" i="7"/>
  <c r="I326" i="7" s="1"/>
  <c r="I325" i="7"/>
  <c r="F330" i="7"/>
  <c r="I330" i="7" s="1"/>
  <c r="I329" i="7"/>
  <c r="F342" i="7"/>
  <c r="I341" i="7"/>
  <c r="G344" i="7"/>
  <c r="J344" i="7" s="1"/>
  <c r="H348" i="7"/>
  <c r="J348" i="7"/>
  <c r="H352" i="7"/>
  <c r="J352" i="7"/>
  <c r="G356" i="7"/>
  <c r="J356" i="7" s="1"/>
  <c r="J355" i="7"/>
  <c r="G360" i="7"/>
  <c r="J360" i="7" s="1"/>
  <c r="J359" i="7"/>
  <c r="K372" i="7"/>
  <c r="G376" i="7"/>
  <c r="J376" i="7" s="1"/>
  <c r="J375" i="7"/>
  <c r="F388" i="7"/>
  <c r="I388" i="7" s="1"/>
  <c r="I387" i="7"/>
  <c r="F396" i="7"/>
  <c r="I396" i="7" s="1"/>
  <c r="K396" i="7" s="1"/>
  <c r="I395" i="7"/>
  <c r="F400" i="7"/>
  <c r="I399" i="7"/>
  <c r="H404" i="7"/>
  <c r="I404" i="7"/>
  <c r="H416" i="7"/>
  <c r="I416" i="7"/>
  <c r="K416" i="7" s="1"/>
  <c r="H420" i="7"/>
  <c r="I420" i="7"/>
  <c r="K420" i="7" s="1"/>
  <c r="H424" i="7"/>
  <c r="I424" i="7"/>
  <c r="H428" i="7"/>
  <c r="I428" i="7"/>
  <c r="K428" i="7" s="1"/>
  <c r="H432" i="7"/>
  <c r="I432" i="7"/>
  <c r="K432" i="7" s="1"/>
  <c r="H452" i="7"/>
  <c r="I452" i="7"/>
  <c r="K452" i="7" s="1"/>
  <c r="H456" i="7"/>
  <c r="I456" i="7"/>
  <c r="K456" i="7" s="1"/>
  <c r="H460" i="7"/>
  <c r="I460" i="7"/>
  <c r="K460" i="7" s="1"/>
  <c r="H464" i="7"/>
  <c r="I464" i="7"/>
  <c r="K464" i="7" s="1"/>
  <c r="H468" i="7"/>
  <c r="I468" i="7"/>
  <c r="K468" i="7" s="1"/>
  <c r="H480" i="7"/>
  <c r="I480" i="7"/>
  <c r="K480" i="7" s="1"/>
  <c r="H484" i="7"/>
  <c r="I484" i="7"/>
  <c r="K484" i="7" s="1"/>
  <c r="H488" i="7"/>
  <c r="I488" i="7"/>
  <c r="H492" i="7"/>
  <c r="I492" i="7"/>
  <c r="K492" i="7" s="1"/>
  <c r="H496" i="7"/>
  <c r="I496" i="7"/>
  <c r="K496" i="7" s="1"/>
  <c r="H500" i="7"/>
  <c r="I500" i="7"/>
  <c r="K500" i="7" s="1"/>
  <c r="H512" i="7"/>
  <c r="I512" i="7"/>
  <c r="K512" i="7" s="1"/>
  <c r="F516" i="7"/>
  <c r="I516" i="7" s="1"/>
  <c r="I515" i="7"/>
  <c r="H524" i="7"/>
  <c r="I524" i="7"/>
  <c r="I542" i="7" s="1"/>
  <c r="K530" i="7"/>
  <c r="K538" i="7"/>
  <c r="K550" i="7"/>
  <c r="K554" i="7"/>
  <c r="K558" i="7"/>
  <c r="F568" i="7"/>
  <c r="I566" i="7"/>
  <c r="I568" i="7" s="1"/>
  <c r="J598" i="7"/>
  <c r="G608" i="7"/>
  <c r="J608" i="7" s="1"/>
  <c r="J614" i="7" s="1"/>
  <c r="J607" i="7"/>
  <c r="H624" i="7"/>
  <c r="J624" i="7"/>
  <c r="K636" i="7"/>
  <c r="J638" i="7"/>
  <c r="K644" i="7"/>
  <c r="K648" i="7"/>
  <c r="K652" i="7"/>
  <c r="H656" i="7"/>
  <c r="J656" i="7"/>
  <c r="J662" i="7" s="1"/>
  <c r="K660" i="7"/>
  <c r="K672" i="7"/>
  <c r="G694" i="7"/>
  <c r="J692" i="7"/>
  <c r="H546" i="7"/>
  <c r="I546" i="7"/>
  <c r="K546" i="7" s="1"/>
  <c r="H584" i="7"/>
  <c r="I584" i="7"/>
  <c r="K584" i="7" s="1"/>
  <c r="F596" i="7"/>
  <c r="I596" i="7" s="1"/>
  <c r="K596" i="7" s="1"/>
  <c r="I595" i="7"/>
  <c r="F608" i="7"/>
  <c r="I607" i="7"/>
  <c r="H668" i="7"/>
  <c r="I668" i="7"/>
  <c r="K668" i="7" s="1"/>
  <c r="H680" i="7"/>
  <c r="I680" i="7"/>
  <c r="K680" i="7" s="1"/>
  <c r="H684" i="7"/>
  <c r="I684" i="7"/>
  <c r="K684" i="7" s="1"/>
  <c r="G12" i="7"/>
  <c r="J12" i="7" s="1"/>
  <c r="J22" i="7" s="1"/>
  <c r="J11" i="7"/>
  <c r="F26" i="7"/>
  <c r="I26" i="7" s="1"/>
  <c r="I25" i="7"/>
  <c r="F34" i="7"/>
  <c r="H34" i="7" s="1"/>
  <c r="I33" i="7"/>
  <c r="F82" i="7"/>
  <c r="I81" i="7"/>
  <c r="G84" i="7"/>
  <c r="J84" i="7" s="1"/>
  <c r="J83" i="7"/>
  <c r="J108" i="7"/>
  <c r="K118" i="7"/>
  <c r="F120" i="7"/>
  <c r="I120" i="7" s="1"/>
  <c r="F134" i="7"/>
  <c r="I134" i="7" s="1"/>
  <c r="I133" i="7"/>
  <c r="G136" i="7"/>
  <c r="J136" i="7" s="1"/>
  <c r="J135" i="7"/>
  <c r="G140" i="7"/>
  <c r="J140" i="7" s="1"/>
  <c r="J139" i="7"/>
  <c r="G144" i="7"/>
  <c r="J144" i="7" s="1"/>
  <c r="J143" i="7"/>
  <c r="K152" i="7"/>
  <c r="K164" i="7"/>
  <c r="H168" i="7"/>
  <c r="J168" i="7"/>
  <c r="K168" i="7" s="1"/>
  <c r="K196" i="7"/>
  <c r="H228" i="7"/>
  <c r="J228" i="7"/>
  <c r="K228" i="7" s="1"/>
  <c r="G232" i="7"/>
  <c r="J232" i="7" s="1"/>
  <c r="J231" i="7"/>
  <c r="G240" i="7"/>
  <c r="J240" i="7" s="1"/>
  <c r="J239" i="7"/>
  <c r="G244" i="7"/>
  <c r="J244" i="7" s="1"/>
  <c r="J243" i="7"/>
  <c r="H276" i="7"/>
  <c r="J276" i="7"/>
  <c r="K276" i="7" s="1"/>
  <c r="F288" i="7"/>
  <c r="I288" i="7" s="1"/>
  <c r="I287" i="7"/>
  <c r="H292" i="7"/>
  <c r="I292" i="7"/>
  <c r="K292" i="7" s="1"/>
  <c r="F296" i="7"/>
  <c r="I296" i="7" s="1"/>
  <c r="I295" i="7"/>
  <c r="F300" i="7"/>
  <c r="I300" i="7" s="1"/>
  <c r="I299" i="7"/>
  <c r="F308" i="7"/>
  <c r="I308" i="7" s="1"/>
  <c r="I307" i="7"/>
  <c r="F312" i="7"/>
  <c r="I312" i="7" s="1"/>
  <c r="I311" i="7"/>
  <c r="G326" i="7"/>
  <c r="J326" i="7" s="1"/>
  <c r="J325" i="7"/>
  <c r="K325" i="7" s="1"/>
  <c r="G330" i="7"/>
  <c r="J330" i="7" s="1"/>
  <c r="J329" i="7"/>
  <c r="G342" i="7"/>
  <c r="J342" i="7" s="1"/>
  <c r="J341" i="7"/>
  <c r="K341" i="7" s="1"/>
  <c r="F350" i="7"/>
  <c r="I350" i="7" s="1"/>
  <c r="I349" i="7"/>
  <c r="H354" i="7"/>
  <c r="I354" i="7"/>
  <c r="F358" i="7"/>
  <c r="I357" i="7"/>
  <c r="H370" i="7"/>
  <c r="I370" i="7"/>
  <c r="K370" i="7" s="1"/>
  <c r="F374" i="7"/>
  <c r="I374" i="7" s="1"/>
  <c r="I373" i="7"/>
  <c r="F378" i="7"/>
  <c r="I377" i="7"/>
  <c r="G388" i="7"/>
  <c r="J388" i="7" s="1"/>
  <c r="J387" i="7"/>
  <c r="G400" i="7"/>
  <c r="J400" i="7" s="1"/>
  <c r="J399" i="7"/>
  <c r="K424" i="7"/>
  <c r="H444" i="7"/>
  <c r="J444" i="7"/>
  <c r="K488" i="7"/>
  <c r="K528" i="7"/>
  <c r="H552" i="7"/>
  <c r="I552" i="7"/>
  <c r="K552" i="7" s="1"/>
  <c r="H558" i="7"/>
  <c r="J568" i="7"/>
  <c r="K574" i="7"/>
  <c r="F578" i="7"/>
  <c r="I578" i="7" s="1"/>
  <c r="K578" i="7" s="1"/>
  <c r="F582" i="7"/>
  <c r="I581" i="7"/>
  <c r="H586" i="7"/>
  <c r="I586" i="7"/>
  <c r="K586" i="7" s="1"/>
  <c r="F590" i="7"/>
  <c r="I589" i="7"/>
  <c r="F594" i="7"/>
  <c r="I593" i="7"/>
  <c r="F602" i="7"/>
  <c r="I601" i="7"/>
  <c r="F626" i="7"/>
  <c r="I625" i="7"/>
  <c r="H634" i="7"/>
  <c r="I634" i="7"/>
  <c r="I638" i="7" s="1"/>
  <c r="H642" i="7"/>
  <c r="I642" i="7"/>
  <c r="K642" i="7" s="1"/>
  <c r="H650" i="7"/>
  <c r="I650" i="7"/>
  <c r="K650" i="7" s="1"/>
  <c r="H654" i="7"/>
  <c r="I654" i="7"/>
  <c r="K654" i="7" s="1"/>
  <c r="H658" i="7"/>
  <c r="I658" i="7"/>
  <c r="K674" i="7"/>
  <c r="H338" i="7"/>
  <c r="H478" i="7"/>
  <c r="H454" i="7"/>
  <c r="H486" i="7"/>
  <c r="H510" i="7"/>
  <c r="H548" i="7"/>
  <c r="F20" i="7"/>
  <c r="I20" i="7" s="1"/>
  <c r="G66" i="7"/>
  <c r="J66" i="7" s="1"/>
  <c r="H92" i="7"/>
  <c r="F122" i="7"/>
  <c r="F148" i="7"/>
  <c r="I148" i="7" s="1"/>
  <c r="K148" i="7" s="1"/>
  <c r="H284" i="7"/>
  <c r="G662" i="7"/>
  <c r="H446" i="7"/>
  <c r="H14" i="7"/>
  <c r="H18" i="7"/>
  <c r="G64" i="7"/>
  <c r="J64" i="7" s="1"/>
  <c r="K64" i="7" s="1"/>
  <c r="H86" i="7"/>
  <c r="H138" i="7"/>
  <c r="H146" i="7"/>
  <c r="H160" i="7"/>
  <c r="H164" i="7"/>
  <c r="G174" i="7"/>
  <c r="H190" i="7"/>
  <c r="H204" i="7"/>
  <c r="H260" i="7"/>
  <c r="H268" i="7"/>
  <c r="H286" i="7"/>
  <c r="H448" i="7"/>
  <c r="H476" i="7"/>
  <c r="H508" i="7"/>
  <c r="G638" i="7"/>
  <c r="H644" i="7"/>
  <c r="H648" i="7"/>
  <c r="H670" i="7"/>
  <c r="H674" i="7"/>
  <c r="H78" i="7"/>
  <c r="H80" i="7"/>
  <c r="H96" i="7"/>
  <c r="H100" i="7"/>
  <c r="H182" i="7"/>
  <c r="H202" i="7"/>
  <c r="H212" i="7"/>
  <c r="H248" i="7"/>
  <c r="H258" i="7"/>
  <c r="H322" i="7"/>
  <c r="H430" i="7"/>
  <c r="H442" i="7"/>
  <c r="H462" i="7"/>
  <c r="H474" i="7"/>
  <c r="H494" i="7"/>
  <c r="H506" i="7"/>
  <c r="H530" i="7"/>
  <c r="H556" i="7"/>
  <c r="G630" i="7"/>
  <c r="H118" i="7"/>
  <c r="H134" i="7"/>
  <c r="H16" i="7"/>
  <c r="F52" i="7"/>
  <c r="I52" i="7" s="1"/>
  <c r="H76" i="7"/>
  <c r="H88" i="7"/>
  <c r="F130" i="7"/>
  <c r="I130" i="7" s="1"/>
  <c r="K130" i="7" s="1"/>
  <c r="H206" i="7"/>
  <c r="H224" i="7"/>
  <c r="H252" i="7"/>
  <c r="H270" i="7"/>
  <c r="H318" i="7"/>
  <c r="H346" i="7"/>
  <c r="H362" i="7"/>
  <c r="H398" i="7"/>
  <c r="H412" i="7"/>
  <c r="H436" i="7"/>
  <c r="H440" i="7"/>
  <c r="H472" i="7"/>
  <c r="H504" i="7"/>
  <c r="H526" i="7"/>
  <c r="H536" i="7"/>
  <c r="F542" i="7"/>
  <c r="H574" i="7"/>
  <c r="H652" i="7"/>
  <c r="F40" i="7"/>
  <c r="F42" i="7"/>
  <c r="F44" i="7"/>
  <c r="F46" i="7"/>
  <c r="F48" i="7"/>
  <c r="G58" i="7"/>
  <c r="J58" i="7" s="1"/>
  <c r="F58" i="7"/>
  <c r="I58" i="7" s="1"/>
  <c r="G60" i="7"/>
  <c r="J60" i="7" s="1"/>
  <c r="F60" i="7"/>
  <c r="H90" i="7"/>
  <c r="H120" i="7"/>
  <c r="F174" i="7"/>
  <c r="H172" i="7"/>
  <c r="H184" i="7"/>
  <c r="G54" i="7"/>
  <c r="G114" i="7"/>
  <c r="F114" i="7"/>
  <c r="I114" i="7" s="1"/>
  <c r="F50" i="7"/>
  <c r="G116" i="7"/>
  <c r="J116" i="7" s="1"/>
  <c r="F116" i="7"/>
  <c r="H150" i="7"/>
  <c r="H166" i="7"/>
  <c r="G142" i="7"/>
  <c r="F142" i="7"/>
  <c r="I142" i="7" s="1"/>
  <c r="H188" i="7"/>
  <c r="H220" i="7"/>
  <c r="H102" i="7"/>
  <c r="F132" i="7"/>
  <c r="H194" i="7"/>
  <c r="H226" i="7"/>
  <c r="H272" i="7"/>
  <c r="H538" i="7"/>
  <c r="G542" i="7"/>
  <c r="H186" i="7"/>
  <c r="H218" i="7"/>
  <c r="H264" i="7"/>
  <c r="H334" i="7"/>
  <c r="G562" i="7"/>
  <c r="H554" i="7"/>
  <c r="H210" i="7"/>
  <c r="H256" i="7"/>
  <c r="H550" i="7"/>
  <c r="F562" i="7"/>
  <c r="H518" i="7"/>
  <c r="G568" i="7"/>
  <c r="H566" i="7"/>
  <c r="H372" i="7"/>
  <c r="H388" i="7"/>
  <c r="G520" i="7"/>
  <c r="H384" i="7"/>
  <c r="H394" i="7"/>
  <c r="H410" i="7"/>
  <c r="H418" i="7"/>
  <c r="F638" i="7"/>
  <c r="H638" i="7" s="1"/>
  <c r="H434" i="7"/>
  <c r="H466" i="7"/>
  <c r="H498" i="7"/>
  <c r="H540" i="7"/>
  <c r="H606" i="7"/>
  <c r="G598" i="7"/>
  <c r="H610" i="7"/>
  <c r="F620" i="7"/>
  <c r="H618" i="7"/>
  <c r="F688" i="7"/>
  <c r="H646" i="7"/>
  <c r="F676" i="7"/>
  <c r="H682" i="7"/>
  <c r="G688" i="7"/>
  <c r="F662" i="7"/>
  <c r="H662" i="7" s="1"/>
  <c r="H660" i="7"/>
  <c r="H672" i="7"/>
  <c r="G676" i="7"/>
  <c r="H636" i="7"/>
  <c r="H692" i="7"/>
  <c r="H596" i="7" l="1"/>
  <c r="H26" i="7"/>
  <c r="K314" i="7"/>
  <c r="H374" i="7"/>
  <c r="H620" i="7"/>
  <c r="G110" i="7"/>
  <c r="H110" i="7" s="1"/>
  <c r="H580" i="7"/>
  <c r="H152" i="7"/>
  <c r="K524" i="7"/>
  <c r="H568" i="7"/>
  <c r="H230" i="7"/>
  <c r="I688" i="7"/>
  <c r="F304" i="7"/>
  <c r="J676" i="7"/>
  <c r="H136" i="7"/>
  <c r="H64" i="7"/>
  <c r="K331" i="7"/>
  <c r="H244" i="7"/>
  <c r="H148" i="7"/>
  <c r="H232" i="7"/>
  <c r="H20" i="7"/>
  <c r="H542" i="7"/>
  <c r="F366" i="7"/>
  <c r="I376" i="7"/>
  <c r="K376" i="7" s="1"/>
  <c r="H376" i="7"/>
  <c r="I34" i="7"/>
  <c r="F36" i="7"/>
  <c r="H36" i="7" s="1"/>
  <c r="I628" i="7"/>
  <c r="K628" i="7" s="1"/>
  <c r="H628" i="7"/>
  <c r="I402" i="7"/>
  <c r="F406" i="7"/>
  <c r="I154" i="7"/>
  <c r="K154" i="7" s="1"/>
  <c r="H154" i="7"/>
  <c r="I98" i="7"/>
  <c r="H98" i="7"/>
  <c r="J380" i="7"/>
  <c r="K380" i="7" s="1"/>
  <c r="H380" i="7"/>
  <c r="H578" i="7"/>
  <c r="F630" i="7"/>
  <c r="H630" i="7" s="1"/>
  <c r="H52" i="7"/>
  <c r="I520" i="7"/>
  <c r="K516" i="7"/>
  <c r="J302" i="7"/>
  <c r="K302" i="7" s="1"/>
  <c r="G304" i="7"/>
  <c r="H304" i="7" s="1"/>
  <c r="J294" i="7"/>
  <c r="K294" i="7" s="1"/>
  <c r="H294" i="7"/>
  <c r="K138" i="7"/>
  <c r="J98" i="7"/>
  <c r="K98" i="7" s="1"/>
  <c r="G104" i="7"/>
  <c r="I68" i="7"/>
  <c r="H68" i="7"/>
  <c r="I378" i="7"/>
  <c r="H378" i="7"/>
  <c r="K624" i="7"/>
  <c r="J630" i="7"/>
  <c r="I328" i="7"/>
  <c r="H328" i="7"/>
  <c r="H288" i="7"/>
  <c r="H386" i="7"/>
  <c r="H344" i="7"/>
  <c r="I602" i="7"/>
  <c r="K602" i="7" s="1"/>
  <c r="H602" i="7"/>
  <c r="F598" i="7"/>
  <c r="H598" i="7" s="1"/>
  <c r="I582" i="7"/>
  <c r="K582" i="7" s="1"/>
  <c r="H582" i="7"/>
  <c r="K444" i="7"/>
  <c r="J520" i="7"/>
  <c r="I62" i="7"/>
  <c r="K62" i="7" s="1"/>
  <c r="H62" i="7"/>
  <c r="K329" i="7"/>
  <c r="K244" i="7"/>
  <c r="K359" i="7"/>
  <c r="K298" i="7"/>
  <c r="K290" i="7"/>
  <c r="K80" i="7"/>
  <c r="K308" i="7"/>
  <c r="K296" i="7"/>
  <c r="I174" i="7"/>
  <c r="K58" i="7"/>
  <c r="I662" i="7"/>
  <c r="K662" i="7" s="1"/>
  <c r="N26" i="8" s="1"/>
  <c r="K638" i="7"/>
  <c r="N25" i="8" s="1"/>
  <c r="J366" i="7"/>
  <c r="H694" i="7"/>
  <c r="K357" i="7"/>
  <c r="G22" i="7"/>
  <c r="H116" i="7"/>
  <c r="I116" i="7"/>
  <c r="K116" i="7" s="1"/>
  <c r="G126" i="7"/>
  <c r="J114" i="7"/>
  <c r="K108" i="7"/>
  <c r="J110" i="7"/>
  <c r="H360" i="7"/>
  <c r="I360" i="7"/>
  <c r="K658" i="7"/>
  <c r="K634" i="7"/>
  <c r="H316" i="7"/>
  <c r="I316" i="7"/>
  <c r="K316" i="7" s="1"/>
  <c r="K34" i="7"/>
  <c r="J36" i="7"/>
  <c r="H350" i="7"/>
  <c r="F390" i="7"/>
  <c r="G366" i="7"/>
  <c r="H130" i="7"/>
  <c r="H60" i="7"/>
  <c r="I60" i="7"/>
  <c r="K60" i="7" s="1"/>
  <c r="H48" i="7"/>
  <c r="I48" i="7"/>
  <c r="K48" i="7" s="1"/>
  <c r="H40" i="7"/>
  <c r="I40" i="7"/>
  <c r="K40" i="7" s="1"/>
  <c r="H332" i="7"/>
  <c r="H382" i="7"/>
  <c r="H308" i="7"/>
  <c r="K66" i="7"/>
  <c r="K404" i="7"/>
  <c r="K240" i="7"/>
  <c r="I82" i="7"/>
  <c r="I104" i="7" s="1"/>
  <c r="H82" i="7"/>
  <c r="K26" i="7"/>
  <c r="I28" i="7"/>
  <c r="K28" i="7" s="1"/>
  <c r="N3" i="8" s="1"/>
  <c r="C3" i="8" s="1"/>
  <c r="H608" i="7"/>
  <c r="I608" i="7"/>
  <c r="K608" i="7" s="1"/>
  <c r="K692" i="7"/>
  <c r="J694" i="7"/>
  <c r="K612" i="7"/>
  <c r="K568" i="7"/>
  <c r="N20" i="8" s="1"/>
  <c r="H124" i="7"/>
  <c r="I124" i="7"/>
  <c r="K124" i="7" s="1"/>
  <c r="K656" i="7"/>
  <c r="I562" i="7"/>
  <c r="K562" i="7" s="1"/>
  <c r="N19" i="8" s="1"/>
  <c r="K402" i="7"/>
  <c r="K134" i="7"/>
  <c r="K378" i="7"/>
  <c r="H242" i="7"/>
  <c r="I242" i="7"/>
  <c r="K242" i="7" s="1"/>
  <c r="J70" i="7"/>
  <c r="G614" i="7"/>
  <c r="F614" i="7"/>
  <c r="F520" i="7"/>
  <c r="H520" i="7" s="1"/>
  <c r="H240" i="7"/>
  <c r="H326" i="7"/>
  <c r="G156" i="7"/>
  <c r="J142" i="7"/>
  <c r="K142" i="7" s="1"/>
  <c r="F104" i="7"/>
  <c r="F234" i="7"/>
  <c r="H300" i="7"/>
  <c r="H174" i="7"/>
  <c r="H46" i="7"/>
  <c r="I46" i="7"/>
  <c r="K46" i="7" s="1"/>
  <c r="H396" i="7"/>
  <c r="H10" i="7"/>
  <c r="F28" i="7"/>
  <c r="H28" i="7" s="1"/>
  <c r="H290" i="7"/>
  <c r="I676" i="7"/>
  <c r="K676" i="7" s="1"/>
  <c r="N27" i="8" s="1"/>
  <c r="H590" i="7"/>
  <c r="I590" i="7"/>
  <c r="K590" i="7" s="1"/>
  <c r="K566" i="7"/>
  <c r="K388" i="7"/>
  <c r="K144" i="7"/>
  <c r="K136" i="7"/>
  <c r="K355" i="7"/>
  <c r="H342" i="7"/>
  <c r="I342" i="7"/>
  <c r="K232" i="7"/>
  <c r="H140" i="7"/>
  <c r="I140" i="7"/>
  <c r="K140" i="7" s="1"/>
  <c r="K20" i="7"/>
  <c r="H8" i="7"/>
  <c r="I8" i="7"/>
  <c r="K8" i="7" s="1"/>
  <c r="K386" i="7"/>
  <c r="H356" i="7"/>
  <c r="I356" i="7"/>
  <c r="K327" i="7"/>
  <c r="K162" i="7"/>
  <c r="H32" i="7"/>
  <c r="I32" i="7"/>
  <c r="J620" i="7"/>
  <c r="K618" i="7"/>
  <c r="H572" i="7"/>
  <c r="I572" i="7"/>
  <c r="K572" i="7" s="1"/>
  <c r="J542" i="7"/>
  <c r="K542" i="7" s="1"/>
  <c r="N18" i="8" s="1"/>
  <c r="K312" i="7"/>
  <c r="K300" i="7"/>
  <c r="I234" i="7"/>
  <c r="K68" i="7"/>
  <c r="H50" i="7"/>
  <c r="I50" i="7"/>
  <c r="K50" i="7" s="1"/>
  <c r="H42" i="7"/>
  <c r="I42" i="7"/>
  <c r="K42" i="7" s="1"/>
  <c r="H594" i="7"/>
  <c r="I594" i="7"/>
  <c r="K594" i="7" s="1"/>
  <c r="H516" i="7"/>
  <c r="G406" i="7"/>
  <c r="H330" i="7"/>
  <c r="H296" i="7"/>
  <c r="H314" i="7"/>
  <c r="H132" i="7"/>
  <c r="I132" i="7"/>
  <c r="K132" i="7" s="1"/>
  <c r="H66" i="7"/>
  <c r="G234" i="7"/>
  <c r="H144" i="7"/>
  <c r="H44" i="7"/>
  <c r="I44" i="7"/>
  <c r="K44" i="7" s="1"/>
  <c r="G390" i="7"/>
  <c r="H298" i="7"/>
  <c r="H312" i="7"/>
  <c r="H84" i="7"/>
  <c r="H122" i="7"/>
  <c r="I122" i="7"/>
  <c r="K122" i="7" s="1"/>
  <c r="H626" i="7"/>
  <c r="I626" i="7"/>
  <c r="K626" i="7" s="1"/>
  <c r="J406" i="7"/>
  <c r="H358" i="7"/>
  <c r="I358" i="7"/>
  <c r="J234" i="7"/>
  <c r="J174" i="7"/>
  <c r="K84" i="7"/>
  <c r="H400" i="7"/>
  <c r="I400" i="7"/>
  <c r="K400" i="7" s="1"/>
  <c r="K120" i="7"/>
  <c r="K694" i="7"/>
  <c r="H588" i="7"/>
  <c r="I588" i="7"/>
  <c r="K588" i="7" s="1"/>
  <c r="K686" i="7"/>
  <c r="J688" i="7"/>
  <c r="K374" i="7"/>
  <c r="K349" i="7"/>
  <c r="K288" i="7"/>
  <c r="K52" i="7"/>
  <c r="H562" i="7"/>
  <c r="G70" i="7"/>
  <c r="H676" i="7"/>
  <c r="F156" i="7"/>
  <c r="F70" i="7"/>
  <c r="H688" i="7"/>
  <c r="H142" i="7"/>
  <c r="H58" i="7"/>
  <c r="F126" i="7"/>
  <c r="H114" i="7"/>
  <c r="F54" i="7"/>
  <c r="H54" i="7" s="1"/>
  <c r="J304" i="7" l="1"/>
  <c r="I390" i="7"/>
  <c r="H366" i="7"/>
  <c r="I304" i="7"/>
  <c r="K304" i="7" s="1"/>
  <c r="N13" i="8" s="1"/>
  <c r="H104" i="7"/>
  <c r="J390" i="7"/>
  <c r="K390" i="7" s="1"/>
  <c r="N15" i="8" s="1"/>
  <c r="J104" i="7"/>
  <c r="K104" i="7" s="1"/>
  <c r="N7" i="8" s="1"/>
  <c r="H126" i="7"/>
  <c r="H406" i="7"/>
  <c r="K688" i="7"/>
  <c r="N28" i="8" s="1"/>
  <c r="K520" i="7"/>
  <c r="N17" i="8" s="1"/>
  <c r="N29" i="8"/>
  <c r="K18" i="8"/>
  <c r="J18" i="8"/>
  <c r="I18" i="8"/>
  <c r="K620" i="7"/>
  <c r="N23" i="8" s="1"/>
  <c r="H234" i="7"/>
  <c r="H614" i="7"/>
  <c r="K19" i="8"/>
  <c r="I19" i="8"/>
  <c r="J19" i="8"/>
  <c r="L25" i="8"/>
  <c r="K25" i="8"/>
  <c r="K174" i="7"/>
  <c r="N11" i="8" s="1"/>
  <c r="K20" i="8"/>
  <c r="I20" i="8"/>
  <c r="J20" i="8"/>
  <c r="K110" i="7"/>
  <c r="N8" i="8" s="1"/>
  <c r="L26" i="8"/>
  <c r="K26" i="8"/>
  <c r="M27" i="8"/>
  <c r="L27" i="8"/>
  <c r="I366" i="7"/>
  <c r="K366" i="7" s="1"/>
  <c r="N14" i="8" s="1"/>
  <c r="I70" i="7"/>
  <c r="K70" i="7" s="1"/>
  <c r="N6" i="8" s="1"/>
  <c r="I614" i="7"/>
  <c r="F12" i="7"/>
  <c r="I11" i="7"/>
  <c r="G696" i="7"/>
  <c r="H390" i="7"/>
  <c r="K82" i="7"/>
  <c r="K114" i="7"/>
  <c r="J126" i="7"/>
  <c r="I54" i="7"/>
  <c r="I36" i="7"/>
  <c r="K36" i="7" s="1"/>
  <c r="N4" i="8" s="1"/>
  <c r="K32" i="7"/>
  <c r="I156" i="7"/>
  <c r="I406" i="7"/>
  <c r="K406" i="7" s="1"/>
  <c r="N16" i="8" s="1"/>
  <c r="I126" i="7"/>
  <c r="J156" i="7"/>
  <c r="I630" i="7"/>
  <c r="K630" i="7" s="1"/>
  <c r="N24" i="8" s="1"/>
  <c r="I598" i="7"/>
  <c r="K234" i="7"/>
  <c r="N12" i="8" s="1"/>
  <c r="H70" i="7"/>
  <c r="H156" i="7"/>
  <c r="G15" i="8" l="1"/>
  <c r="H15" i="8"/>
  <c r="J696" i="7"/>
  <c r="K7" i="8"/>
  <c r="J7" i="8"/>
  <c r="H12" i="8"/>
  <c r="I12" i="8"/>
  <c r="J12" i="8"/>
  <c r="G12" i="8"/>
  <c r="D4" i="8"/>
  <c r="C4" i="8"/>
  <c r="H17" i="8"/>
  <c r="F17" i="8"/>
  <c r="J17" i="8"/>
  <c r="G17" i="8"/>
  <c r="I17" i="8"/>
  <c r="L28" i="8"/>
  <c r="M28" i="8"/>
  <c r="I14" i="8"/>
  <c r="J14" i="8"/>
  <c r="G11" i="8"/>
  <c r="H11" i="8"/>
  <c r="I11" i="8"/>
  <c r="K598" i="7"/>
  <c r="N21" i="8" s="1"/>
  <c r="K16" i="8"/>
  <c r="J16" i="8"/>
  <c r="I13" i="8"/>
  <c r="H13" i="8"/>
  <c r="K614" i="7"/>
  <c r="N22" i="8" s="1"/>
  <c r="I8" i="8"/>
  <c r="G8" i="8"/>
  <c r="H8" i="8"/>
  <c r="K8" i="8"/>
  <c r="J8" i="8"/>
  <c r="F8" i="8"/>
  <c r="L23" i="8"/>
  <c r="K23" i="8"/>
  <c r="I6" i="8"/>
  <c r="H6" i="8"/>
  <c r="G6" i="8"/>
  <c r="J6" i="8"/>
  <c r="F6" i="8"/>
  <c r="K6" i="8"/>
  <c r="L29" i="8"/>
  <c r="M29" i="8"/>
  <c r="L24" i="8"/>
  <c r="K24" i="8"/>
  <c r="K156" i="7"/>
  <c r="N10" i="8" s="1"/>
  <c r="K54" i="7"/>
  <c r="N5" i="8" s="1"/>
  <c r="K126" i="7"/>
  <c r="N9" i="8" s="1"/>
  <c r="I12" i="7"/>
  <c r="H12" i="7"/>
  <c r="F22" i="7"/>
  <c r="M30" i="8" l="1"/>
  <c r="G10" i="8"/>
  <c r="J10" i="8"/>
  <c r="D10" i="8"/>
  <c r="K22" i="8"/>
  <c r="J22" i="8"/>
  <c r="K21" i="8"/>
  <c r="K30" i="8" s="1"/>
  <c r="J21" i="8"/>
  <c r="I30" i="8"/>
  <c r="L30" i="8"/>
  <c r="F9" i="8"/>
  <c r="F30" i="8" s="1"/>
  <c r="G9" i="8"/>
  <c r="E9" i="8"/>
  <c r="H9" i="8"/>
  <c r="H30" i="8" s="1"/>
  <c r="D5" i="8"/>
  <c r="E5" i="8"/>
  <c r="K12" i="7"/>
  <c r="I22" i="7"/>
  <c r="H22" i="7"/>
  <c r="F696" i="7"/>
  <c r="H696" i="7" s="1"/>
  <c r="G30" i="8" l="1"/>
  <c r="E30" i="8"/>
  <c r="J30" i="8"/>
  <c r="D30" i="8"/>
  <c r="K22" i="7"/>
  <c r="I696" i="7"/>
  <c r="K696" i="7" s="1"/>
  <c r="N2" i="8" l="1"/>
  <c r="N30" i="8" l="1"/>
  <c r="C2" i="8"/>
  <c r="C30" i="8" l="1"/>
  <c r="C31" i="8" s="1"/>
  <c r="D31" i="8" s="1"/>
  <c r="E31" i="8" s="1"/>
  <c r="F31" i="8" s="1"/>
  <c r="G31" i="8" s="1"/>
  <c r="H31" i="8" s="1"/>
  <c r="I31" i="8" s="1"/>
  <c r="J31" i="8" s="1"/>
  <c r="K31" i="8" s="1"/>
  <c r="L31" i="8" s="1"/>
  <c r="M31" i="8" s="1"/>
</calcChain>
</file>

<file path=xl/sharedStrings.xml><?xml version="1.0" encoding="utf-8"?>
<sst xmlns="http://schemas.openxmlformats.org/spreadsheetml/2006/main" count="1299" uniqueCount="885">
  <si>
    <t>ITEM</t>
  </si>
  <si>
    <t>DESCRIÇÃO</t>
  </si>
  <si>
    <t>UNIDADE</t>
  </si>
  <si>
    <t>QUANTIDADE</t>
  </si>
  <si>
    <t>PREÇO UNITÁRIO DO MATERIAL</t>
  </si>
  <si>
    <t>PREÇO UNITÁRIO DA MÃO DE OBRA</t>
  </si>
  <si>
    <t>1.</t>
  </si>
  <si>
    <t>SERVIÇOS PRELIMINARES</t>
  </si>
  <si>
    <t>1.1</t>
  </si>
  <si>
    <t>m²</t>
  </si>
  <si>
    <t>1.2</t>
  </si>
  <si>
    <t>1.3</t>
  </si>
  <si>
    <t>1.4</t>
  </si>
  <si>
    <t>1.5</t>
  </si>
  <si>
    <t>1.6</t>
  </si>
  <si>
    <t>TOTAL DE SERVIÇOS PRELIMINARES</t>
  </si>
  <si>
    <t>2.</t>
  </si>
  <si>
    <t>SERVIÇOS EM TERRA</t>
  </si>
  <si>
    <t>2.1</t>
  </si>
  <si>
    <t>m³</t>
  </si>
  <si>
    <t>TOTAL DE SERVIÇOS EM TERRA</t>
  </si>
  <si>
    <t>3.</t>
  </si>
  <si>
    <t>3.1</t>
  </si>
  <si>
    <t>3.2</t>
  </si>
  <si>
    <t>m</t>
  </si>
  <si>
    <t>4.</t>
  </si>
  <si>
    <t>4.1</t>
  </si>
  <si>
    <t>4.2</t>
  </si>
  <si>
    <t>TOTAL DE ESTRUTURA</t>
  </si>
  <si>
    <t>5.</t>
  </si>
  <si>
    <t>5.1</t>
  </si>
  <si>
    <t>5.2</t>
  </si>
  <si>
    <t>5.3</t>
  </si>
  <si>
    <t>5.4</t>
  </si>
  <si>
    <t>5.5</t>
  </si>
  <si>
    <t>5.6</t>
  </si>
  <si>
    <t>CÓDIGO</t>
  </si>
  <si>
    <t>74209/1 - SINAPI</t>
  </si>
  <si>
    <t>Placa de obra em chapa zincada, instalada</t>
  </si>
  <si>
    <t>93207 - SINAPI</t>
  </si>
  <si>
    <t>Barracão para escritório de obra porte pequeno</t>
  </si>
  <si>
    <t>93208 - SINAPI</t>
  </si>
  <si>
    <t>Execução de almaxarifado em canteiro de obra</t>
  </si>
  <si>
    <t>74077/3 - SINAPI</t>
  </si>
  <si>
    <t>Locação de construção de edificação com gabarito de madeira</t>
  </si>
  <si>
    <t>41598 - SINAPI</t>
  </si>
  <si>
    <t>Ligação provisória de energia elétrica em canteiro de obra</t>
  </si>
  <si>
    <t>un.</t>
  </si>
  <si>
    <t>PRÓPRIA</t>
  </si>
  <si>
    <t>Instalação provisória de água</t>
  </si>
  <si>
    <t>1.7</t>
  </si>
  <si>
    <t>Instalações provisórias de esgoto</t>
  </si>
  <si>
    <t>74220/1 - SINAPI</t>
  </si>
  <si>
    <t>Tapume de chapa de madeira compensada, 6mm (80x2,00m, frente do terreno)</t>
  </si>
  <si>
    <t>94319 - SINAPI</t>
  </si>
  <si>
    <t>Aterro apiloado em camadas de 0,20 m com material argilo - arenoso (entre baldrames)</t>
  </si>
  <si>
    <t>FUNDAÇÕES</t>
  </si>
  <si>
    <t>95241 - SINAPI</t>
  </si>
  <si>
    <t>Lastro de concreto magro (e=5,00 cm) - preparo mecânico</t>
  </si>
  <si>
    <t>92720 - SINAPI</t>
  </si>
  <si>
    <t>Concreto para fundação fck=25MPa, incluindo preparo, lançamento, adensamento</t>
  </si>
  <si>
    <t>TOTAL DE FUNDAÇÕES</t>
  </si>
  <si>
    <t>SUPERESTRUTURA</t>
  </si>
  <si>
    <t>92430 - SINAPI</t>
  </si>
  <si>
    <t>Montagem e desmonstagem de forma para pilares, em chapa de madeira compensada plastificada com reaproveitamento</t>
  </si>
  <si>
    <t>92778 - SINAPI</t>
  </si>
  <si>
    <t>kg</t>
  </si>
  <si>
    <t>92779 - SINAPI</t>
  </si>
  <si>
    <t>6.</t>
  </si>
  <si>
    <t>92780 - SINAPI</t>
  </si>
  <si>
    <t>6.1</t>
  </si>
  <si>
    <t>92775 - SINAPI</t>
  </si>
  <si>
    <t>Armação de aço CA-60 Ø 5,0mm; incluso fornecimento, corte, dobra e colocação</t>
  </si>
  <si>
    <t>6.2</t>
  </si>
  <si>
    <t>6.3</t>
  </si>
  <si>
    <t>74202/1 - SINAPI</t>
  </si>
  <si>
    <t>Laje pré-moldada para forro</t>
  </si>
  <si>
    <t>6.4</t>
  </si>
  <si>
    <t>6.5</t>
  </si>
  <si>
    <t>SISTEMA DE VEDAÇÃO VERTICAL INTERNO E EXTERNO (PAREDES)</t>
  </si>
  <si>
    <t>73937/1 - SINAPI</t>
  </si>
  <si>
    <t>Cobogó de concreto (elemento vazado-CB1) - 10x40x40cm) assentado com argamassa traçoo 1:4</t>
  </si>
  <si>
    <t>6.6</t>
  </si>
  <si>
    <t>87477 - SINAPI</t>
  </si>
  <si>
    <t>Alvenaria de vedação de 1/2 vez em tijolos cerâmicos (dimensões nominais: 39x19x09); assentamento em argamassa no traço 1:2:8 (cimento, cal e areia)</t>
  </si>
  <si>
    <t>6.7</t>
  </si>
  <si>
    <t>87503 - SINAPI</t>
  </si>
  <si>
    <t>Alvenaria de vedação de 1 vez em tijolos cerâmicos de 8 furos (dimensões nominais: 19x19x09); assentamento em argamassa no traço 1:2:8 (cimento, cal e areia)</t>
  </si>
  <si>
    <t>6.8</t>
  </si>
  <si>
    <t>93202 - SINAPI</t>
  </si>
  <si>
    <t>Encunhamento (aperto de alvenaria) em tijolo cerâmico maciço 5x10x20cm 1 vez (esp. 20cm), assentamento c/ argamassa traço 1:6 (cimento e areia)</t>
  </si>
  <si>
    <t>93183 - SINAPI</t>
  </si>
  <si>
    <t>Verga 10x10cm em concreto pre-moldado fck=20MPa</t>
  </si>
  <si>
    <t>6.9</t>
  </si>
  <si>
    <t>74229/1 - SINAPI</t>
  </si>
  <si>
    <t>Divisória de banheiros e saniários em granito com espessura de 2cm polido assentado com argamassa traço 1:4</t>
  </si>
  <si>
    <t>6.10</t>
  </si>
  <si>
    <t>TOTAL DE SISTEMA DE VEDAÇÃO VERTICAL INTERNO E EXTERNO (PAREDES)</t>
  </si>
  <si>
    <t>ESQUADRIAS</t>
  </si>
  <si>
    <t>91314 - SINAPI</t>
  </si>
  <si>
    <t>Porta de abrir em madeira para pintura 0,80x2,10m, espessura 3,5cm, incluso dobradiças, batentes e fechadura</t>
  </si>
  <si>
    <t>6.11</t>
  </si>
  <si>
    <t>6.12</t>
  </si>
  <si>
    <t>6.13</t>
  </si>
  <si>
    <t>Porta de abrir em chapa de madeira compensada para banheiro revestida com laminado, 0,60x1,60m, incluso marco e dobradiça</t>
  </si>
  <si>
    <t>6.14</t>
  </si>
  <si>
    <t>6.15</t>
  </si>
  <si>
    <t>Peças de apoio para PNE em aço inox nas portas</t>
  </si>
  <si>
    <t>74046/2 - SINAPI</t>
  </si>
  <si>
    <t>Tarjeta tipo livre/ocupado para porta de banheiro</t>
  </si>
  <si>
    <t>74100/1 - SINAPI</t>
  </si>
  <si>
    <t>Portão de abrir, 2,05x1,80m, em gradil metálico belgo ou similar, conforme projeto de esquadrias, inclusive ferragens</t>
  </si>
  <si>
    <t>7.</t>
  </si>
  <si>
    <t>7.1</t>
  </si>
  <si>
    <t>Portão de abrir, 1,80x1,95m, em gradil metálico belgo ou similar, conforme projeto de equadrias, inclusive ferragens</t>
  </si>
  <si>
    <t>Portão de abrir, 1,00x1,95m, em gradil metálico belgo ou similar, conforme projeto de equadrias, inclusive ferragens</t>
  </si>
  <si>
    <t>Portão de abrir, 1,20x1,80m, em gradil metálico belgo ou similar, conforme projeto de equadrias, inclusive ferragens</t>
  </si>
  <si>
    <t>Portão de abrir, 3,00x1,80m, em gradil metálico belgo ou similar, conforme projeto de equadrias, inclusive ferragens</t>
  </si>
  <si>
    <t>Gradil pré-fabricado, conforme projeto de arquitetura</t>
  </si>
  <si>
    <t>72118 - SINAPI</t>
  </si>
  <si>
    <t>Vidro miniboreal incolor, espessura 6mm - fornecimento e instalação</t>
  </si>
  <si>
    <t>85005 - SINAPI</t>
  </si>
  <si>
    <t>Espelho cristal esp. 4mm sem moldura</t>
  </si>
  <si>
    <t>TOTAL DE ESQUADRIAS</t>
  </si>
  <si>
    <t>8.</t>
  </si>
  <si>
    <t>IMPERMEABILIZAÇÃO</t>
  </si>
  <si>
    <t>8.1</t>
  </si>
  <si>
    <t>74106/1 - SINAPI</t>
  </si>
  <si>
    <t>Impermeabilização com tinta betuminosa em fundações, baldrames</t>
  </si>
  <si>
    <t>TOTAL DE IMPERMEABILIZAÇÃO</t>
  </si>
  <si>
    <t>9.</t>
  </si>
  <si>
    <t>REVESTIMENTOS INTERNOS E EXTERNOS</t>
  </si>
  <si>
    <t>9.2</t>
  </si>
  <si>
    <t>87882 - SINAPI</t>
  </si>
  <si>
    <t>Chapisco em teto com argamassa traço - 1:3 (cimento/areia)</t>
  </si>
  <si>
    <t>9.4</t>
  </si>
  <si>
    <t>87529 - SINAPI</t>
  </si>
  <si>
    <t>Reboco de parede, com argamassa traço - 1:2 (cal/areia), espessura 0,5 cm</t>
  </si>
  <si>
    <t>9.5</t>
  </si>
  <si>
    <t>90408 - SINAPI</t>
  </si>
  <si>
    <t>Reboco de teto, com argamassa traço - 1:2 (cal/areia fina), espessura 0,5 cm</t>
  </si>
  <si>
    <t>9.6</t>
  </si>
  <si>
    <t>Argamassa impermeabilizada, traço - 1:3, para detalhes dos rodapés</t>
  </si>
  <si>
    <t>9.7</t>
  </si>
  <si>
    <t>87248 - SINAPI</t>
  </si>
  <si>
    <t>Revestimento cerâmico de paredes PEI IV - cerâmica 30 x 40 cm aplicado com argamassa industrializada - incl. Rejunte - conforme projeto</t>
  </si>
  <si>
    <t>9.8</t>
  </si>
  <si>
    <t>87267 - SINAPI</t>
  </si>
  <si>
    <t>Revestimento cerâmico de paredes PEI IV - cerâmica 10 x 10 cm aplicado com argamassa industrializada - incl. Rejunte - conforme projeto</t>
  </si>
  <si>
    <t>10.</t>
  </si>
  <si>
    <t>SISTEMAS DE PISOS INTERNOS  EXTERNOS (PAVIMENTAÇÃO)</t>
  </si>
  <si>
    <t>10.1</t>
  </si>
  <si>
    <t>87690 - SINAPI</t>
  </si>
  <si>
    <t>Contrapiso de concreto não=estrutural espessura 5cm, preparo com betoneira</t>
  </si>
  <si>
    <t>10.2</t>
  </si>
  <si>
    <t>98680 - SINAPI</t>
  </si>
  <si>
    <t>Piso cimentado traço 1:3 (cimento e areia) com acabamento liso espessura 3cm</t>
  </si>
  <si>
    <t>10.3</t>
  </si>
  <si>
    <t>Piso cerâmico esmaltado PEI V - 40 x 40 cm aplicado com argamassa industrializada - incl. Rejunte - Branco antiderrapante - conforme projeto</t>
  </si>
  <si>
    <t>10.4</t>
  </si>
  <si>
    <t>Piso cerâmico esmaltado PEI V - 40 x 40 cm aplicado com argamassa industrializada - incl. Rejunte - Cinza antiderrpante - conforme projeto</t>
  </si>
  <si>
    <t>10.5</t>
  </si>
  <si>
    <t>Piso tátil interno em borracha 30x30cm, assentamento com cola vinil (fornecimento e assentamento)</t>
  </si>
  <si>
    <t>10.6</t>
  </si>
  <si>
    <t>Piso tátil de alerta/direcional em placas pré-moldadas - 5MPa</t>
  </si>
  <si>
    <t>10.7</t>
  </si>
  <si>
    <t>87703 - SINAPI</t>
  </si>
  <si>
    <t>Piso de alta resistência em massa granilítica, inclusive polimento e enceramento</t>
  </si>
  <si>
    <t>Soleira em granito cinza andorinha, L=15cm, E=2cm</t>
  </si>
  <si>
    <t>6514 - SINAPI</t>
  </si>
  <si>
    <t>Lastro de brita e=3cm</t>
  </si>
  <si>
    <t>94992 - SINAPI</t>
  </si>
  <si>
    <t>Piso de cimento desempenado com juntas de dilatação</t>
  </si>
  <si>
    <t>rampa de acesso em concreto não estrutural</t>
  </si>
  <si>
    <t>94265 - SINAPI</t>
  </si>
  <si>
    <t>Meio-fio (guia) de concreto premoldado</t>
  </si>
  <si>
    <t>Pavimentação em blocos intertravado de concreto, esp. 6cm, assentados sobre colchão de areia</t>
  </si>
  <si>
    <t>TOTAL DE SISTEMAS DE PISOS INTERNOS  EXTERNOS (PAVIMENTAÇÃO)</t>
  </si>
  <si>
    <t>11.</t>
  </si>
  <si>
    <t>PINTURA</t>
  </si>
  <si>
    <t>11.1</t>
  </si>
  <si>
    <t>88497 - SINAPI</t>
  </si>
  <si>
    <t>Emassamento de paredes internas com massa PVA - 2 demãos</t>
  </si>
  <si>
    <t>11.2</t>
  </si>
  <si>
    <t>88496 - SINAPI</t>
  </si>
  <si>
    <t>Emassamento de lajes internas com passa PVA - 2 demãos</t>
  </si>
  <si>
    <t>11.3</t>
  </si>
  <si>
    <t>88489 - SINAPI</t>
  </si>
  <si>
    <t>Pintura em latex acrílico 2 demãos sobre paredes internas e externas</t>
  </si>
  <si>
    <t>11.4</t>
  </si>
  <si>
    <t>88486 - SINAPI</t>
  </si>
  <si>
    <t>Pintura em latex 2 demãos sobre lajes internas e externas</t>
  </si>
  <si>
    <t>11.5</t>
  </si>
  <si>
    <t>74065/1 - SINAPI</t>
  </si>
  <si>
    <t>Pintura esmalte sintético 2 demãos em roda meio de madeira</t>
  </si>
  <si>
    <t>11.6</t>
  </si>
  <si>
    <t>73924/2 - SINAPI</t>
  </si>
  <si>
    <t>Pintura em esmalte acetinado 2 demãos para portão</t>
  </si>
  <si>
    <t>11.7</t>
  </si>
  <si>
    <t>Pintura em esmalte sintético 2 demãos em porta de madeira</t>
  </si>
  <si>
    <t>TOTAL DE PINTURA</t>
  </si>
  <si>
    <t>12.</t>
  </si>
  <si>
    <t>INSTALAÇÕES HIDRÁULICAS</t>
  </si>
  <si>
    <t>12.1</t>
  </si>
  <si>
    <t>89401 - SINAPI</t>
  </si>
  <si>
    <t>Tubo PVC soldável Ø 25 mm, inclusive conexões</t>
  </si>
  <si>
    <t>12.2</t>
  </si>
  <si>
    <t>89446 - SINAPI</t>
  </si>
  <si>
    <t>Tubo PVC soldável Ø 32 mm, inclusive conexões</t>
  </si>
  <si>
    <t>12.3</t>
  </si>
  <si>
    <t>89447 - SINAPI</t>
  </si>
  <si>
    <t>Tubo PVC soldável Ø 40 mm, inclusive conexões</t>
  </si>
  <si>
    <t>12.4</t>
  </si>
  <si>
    <t>89448 - SINAPI</t>
  </si>
  <si>
    <t>Tubo PVC soldável Ø 50 mm, inclusive conexões</t>
  </si>
  <si>
    <t>12.5</t>
  </si>
  <si>
    <t>89449 - SINAPI</t>
  </si>
  <si>
    <t>Tubo PVC soldável Ø 60 mm, inclusive conexões</t>
  </si>
  <si>
    <t>12.6</t>
  </si>
  <si>
    <t>89450 - SINAPI</t>
  </si>
  <si>
    <t>Tubo PVC soldável Ø 75 mm, inclusive conexões</t>
  </si>
  <si>
    <t>12.7</t>
  </si>
  <si>
    <t>89383 - SINAPI</t>
  </si>
  <si>
    <t>Adaptador de PVCcom bolsa e rosca 25mm x 3/4"</t>
  </si>
  <si>
    <t>12.8</t>
  </si>
  <si>
    <t>89596 - SINAPI</t>
  </si>
  <si>
    <t>Adaptador de PVCcom bolsa e rosca 50mm x 1.1/2"</t>
  </si>
  <si>
    <t>12.9</t>
  </si>
  <si>
    <t>89413 - SINAPI</t>
  </si>
  <si>
    <t>Joelho PVC soldavel 90° água fria 25mm</t>
  </si>
  <si>
    <t>12.10</t>
  </si>
  <si>
    <t>Joelho PVC soldavel 90° água fria 32mm</t>
  </si>
  <si>
    <t>12.11</t>
  </si>
  <si>
    <t>89497 - SINAPI</t>
  </si>
  <si>
    <t>Joelho PVC soldavel 90° água fria 40mm</t>
  </si>
  <si>
    <t>12.12</t>
  </si>
  <si>
    <t>89501 - SINAPI</t>
  </si>
  <si>
    <t>Joelho PVC soldavel 90° água fria 50mm</t>
  </si>
  <si>
    <t>12.13</t>
  </si>
  <si>
    <t>89505 - SINAPI</t>
  </si>
  <si>
    <t>Joelho PVC soldavel 90° água fria 60mm</t>
  </si>
  <si>
    <t>12.14</t>
  </si>
  <si>
    <t>89513 - SINAPI</t>
  </si>
  <si>
    <t>Joelho PVC soldavel 90° água fria 75mm</t>
  </si>
  <si>
    <t>12.15</t>
  </si>
  <si>
    <t>89400 - SINAPI</t>
  </si>
  <si>
    <t>Te PVC soldável com rosca água fria 25mmx25mmx32mm</t>
  </si>
  <si>
    <t>12.16</t>
  </si>
  <si>
    <t>89624 - SINAPI</t>
  </si>
  <si>
    <t>12.17</t>
  </si>
  <si>
    <t>Te PVC soldável com rosca água fria 40mmx40mmx32mm</t>
  </si>
  <si>
    <t>12.18</t>
  </si>
  <si>
    <t>89627 - SINAPI</t>
  </si>
  <si>
    <t>Te PVC soldável com rosca água fria 50mmx50mmx25mm</t>
  </si>
  <si>
    <t>12.19</t>
  </si>
  <si>
    <t>89630 - SINAPI</t>
  </si>
  <si>
    <t>Te PVC soldável com rosca água fria 60mmx60mmx25mm</t>
  </si>
  <si>
    <t>12.20</t>
  </si>
  <si>
    <t>Te PVC soldável com rosca água fria 75mmx75mmx60mm</t>
  </si>
  <si>
    <t>12.21</t>
  </si>
  <si>
    <t>89395 - SINAPI</t>
  </si>
  <si>
    <t>Te PVC Soldável água fria 25mm</t>
  </si>
  <si>
    <t>12.22</t>
  </si>
  <si>
    <t>89623 - SINAPI</t>
  </si>
  <si>
    <t>Te PVC Soldável água fria 40mm</t>
  </si>
  <si>
    <t>12.23</t>
  </si>
  <si>
    <t>89625 - SINAPI</t>
  </si>
  <si>
    <t>Te PVC Soldável água fria 50mm</t>
  </si>
  <si>
    <t>12.24</t>
  </si>
  <si>
    <t>89629 - SINAPI</t>
  </si>
  <si>
    <t>Te PVC Soldável água fria 75mm</t>
  </si>
  <si>
    <t>12.25</t>
  </si>
  <si>
    <t>89985 - SINAPI</t>
  </si>
  <si>
    <t>Registro de pressão com canopla Ø 3/4"</t>
  </si>
  <si>
    <t>12.26</t>
  </si>
  <si>
    <t>89971 - SINAPI</t>
  </si>
  <si>
    <t>Registro de gaveta bruto, Ø 1/2"</t>
  </si>
  <si>
    <t>12.27</t>
  </si>
  <si>
    <t>Caixa d'água matálica completa de 15.000L, inclusive base conforme projeto</t>
  </si>
  <si>
    <t>12.28</t>
  </si>
  <si>
    <t>Caixa d'água enterrada de concreto 15.000L, conforme projeto</t>
  </si>
  <si>
    <t>TOTAL DE INSTALAÇÕES HIDRÁULICAS</t>
  </si>
  <si>
    <t>13.</t>
  </si>
  <si>
    <t>INSTALAÇÕES SANITÁRIAS E DRENAGEM PLUVIAL</t>
  </si>
  <si>
    <t>13.1</t>
  </si>
  <si>
    <t>89711 - SINAPI</t>
  </si>
  <si>
    <t>Tubo de PVC série normal 40mm, fornecimento e instalação</t>
  </si>
  <si>
    <t>13.2</t>
  </si>
  <si>
    <t>Tubo de PVC série normal 50mm, fornecimento e instalação</t>
  </si>
  <si>
    <t>13.3</t>
  </si>
  <si>
    <t>Tubo de PVC série normal 75mm, fornecimento e instalação</t>
  </si>
  <si>
    <t>13.4</t>
  </si>
  <si>
    <t>Tubo de PVC série normal 100mm, fornecimento e instalação</t>
  </si>
  <si>
    <t>13.5</t>
  </si>
  <si>
    <t>89849 - SINAPI</t>
  </si>
  <si>
    <t>Tubo de PVC série normal 150mm, fornecimento e instalação</t>
  </si>
  <si>
    <t>13.6</t>
  </si>
  <si>
    <t>90711 - SINAPI</t>
  </si>
  <si>
    <t>Tubo de PVC série normal 200mm, fornecimento e instalação</t>
  </si>
  <si>
    <t>13.7</t>
  </si>
  <si>
    <t>90712 - SINAPI</t>
  </si>
  <si>
    <t>Tubo de PVC série normal 250mm, fornecimento e instalação</t>
  </si>
  <si>
    <t>13.8</t>
  </si>
  <si>
    <t>90713 - SINAPI</t>
  </si>
  <si>
    <t>Tubo de PVC série normal 300mm, fornecimento e instalação</t>
  </si>
  <si>
    <t>13.9</t>
  </si>
  <si>
    <t>89726 - SINAPI</t>
  </si>
  <si>
    <t>Joelho PVC 45° esgoto 40 mm</t>
  </si>
  <si>
    <t>13.10</t>
  </si>
  <si>
    <t>89732 - SINAPI</t>
  </si>
  <si>
    <t>Joelho PVC 45° esgoto 50 mm</t>
  </si>
  <si>
    <t>13.11</t>
  </si>
  <si>
    <t>89739 - SINAPI</t>
  </si>
  <si>
    <t>Joelho PVC 45° esgoto 75 mm</t>
  </si>
  <si>
    <t>13.12</t>
  </si>
  <si>
    <t>89724- SINAPI</t>
  </si>
  <si>
    <t>Joelho PVC 90° esgoto 40 mm</t>
  </si>
  <si>
    <t>13.13</t>
  </si>
  <si>
    <t>89801 - SINAPI</t>
  </si>
  <si>
    <t>Joelho PVC 90° esgoto 50 mm</t>
  </si>
  <si>
    <t>13.14</t>
  </si>
  <si>
    <t>89737 - SINAPI</t>
  </si>
  <si>
    <t>Joelho PVC 90° esgoto 75 mm</t>
  </si>
  <si>
    <t>13.15</t>
  </si>
  <si>
    <t>89744 - SINAPI</t>
  </si>
  <si>
    <t>Joelho PVC 90° esgoto 100 mm</t>
  </si>
  <si>
    <t>13.16</t>
  </si>
  <si>
    <t>89783 - SINAPI</t>
  </si>
  <si>
    <t>Junção PVC esgoto 40 mm</t>
  </si>
  <si>
    <t>13.17</t>
  </si>
  <si>
    <t>89785 - SINAPI</t>
  </si>
  <si>
    <t>Junção PVC esgoto 50 mm</t>
  </si>
  <si>
    <t>13.18</t>
  </si>
  <si>
    <t>89795 - SINAPI</t>
  </si>
  <si>
    <t>Junção PVC esgoto 75 mm</t>
  </si>
  <si>
    <t>13.19</t>
  </si>
  <si>
    <t>Junção PVC esgoto 50 x 40 mm</t>
  </si>
  <si>
    <t>13.20</t>
  </si>
  <si>
    <t>Junção PVC esgoto 75 x 50 mm</t>
  </si>
  <si>
    <t>13.21</t>
  </si>
  <si>
    <t>89797 - SINAPI</t>
  </si>
  <si>
    <t>Junção PVC esgoto 100 x 50 mm</t>
  </si>
  <si>
    <t>13.22</t>
  </si>
  <si>
    <t>Junção PVC esgoto 100 x 75 mm</t>
  </si>
  <si>
    <t>13.23</t>
  </si>
  <si>
    <t>Junção PVC esgoto 100 x 100 mm</t>
  </si>
  <si>
    <t>13.24</t>
  </si>
  <si>
    <t>89707 - SINAPI</t>
  </si>
  <si>
    <t>Caixa sifonada 100x100x50mm</t>
  </si>
  <si>
    <t>13.25</t>
  </si>
  <si>
    <t>89708 - SINAPI</t>
  </si>
  <si>
    <t>Caixa sifonada 150x185x75mm</t>
  </si>
  <si>
    <t>13.26</t>
  </si>
  <si>
    <t>Caixa de areia 60x60cm</t>
  </si>
  <si>
    <t>13.27</t>
  </si>
  <si>
    <t>caixa de areia 80x80cm</t>
  </si>
  <si>
    <t>13.28</t>
  </si>
  <si>
    <t>89710 - SINAPI</t>
  </si>
  <si>
    <t>Ralo seco PVC 100x100mm</t>
  </si>
  <si>
    <t>13.29</t>
  </si>
  <si>
    <t>terminal de ventilação série normal 50mm</t>
  </si>
  <si>
    <t>Caixa de inspeção em alvenaria 6-x66-cm</t>
  </si>
  <si>
    <t>Sumidouro em alvenaria Ø 1,60m</t>
  </si>
  <si>
    <t>fossa séptica - capacidade 7.500 L</t>
  </si>
  <si>
    <t>Canaleta de concreto 20cm x 20cm com tampa com grelha de alumínio</t>
  </si>
  <si>
    <t>TOTAL DE VIDROS</t>
  </si>
  <si>
    <t>14.</t>
  </si>
  <si>
    <t>REVESTIMENTO DE LOUÇAS E METAIS</t>
  </si>
  <si>
    <t>14.1</t>
  </si>
  <si>
    <t>Ducha sifonada 150x185x75mm</t>
  </si>
  <si>
    <t>14.2</t>
  </si>
  <si>
    <t>86888 - SINAPI</t>
  </si>
  <si>
    <t>Bacia sanitária convencial, cor branco gelo</t>
  </si>
  <si>
    <t>14.3</t>
  </si>
  <si>
    <t>Válvula de descarga e acabamento 1 1/2", acabamento cromado</t>
  </si>
  <si>
    <t>8.2</t>
  </si>
  <si>
    <t>14.4</t>
  </si>
  <si>
    <t>Bacia sanitária com abertura, cor branco gelo, p/ de descarga, com acessórios, bolsa de borracha para ligação, tubo pvc ligação - fornecimento e instalação</t>
  </si>
  <si>
    <t>8.3</t>
  </si>
  <si>
    <t>14.5</t>
  </si>
  <si>
    <t>Assento plástico</t>
  </si>
  <si>
    <t>14.6</t>
  </si>
  <si>
    <t>74234/1 - SINAPI</t>
  </si>
  <si>
    <t>Mictório com sifão integrado branco gelo</t>
  </si>
  <si>
    <t>14.7</t>
  </si>
  <si>
    <t>86942 - SINAPI</t>
  </si>
  <si>
    <t>Lavatório pequeno cor branco gelo, sem coluna (válvula, sifão e engate flexível cromados), exceto torneira</t>
  </si>
  <si>
    <t>14.8</t>
  </si>
  <si>
    <t>86938 - SINAPI</t>
  </si>
  <si>
    <t>Cuba de embutir oval cor branco gelo, em bancada e complementos (válvula, sifão e engate flexível cromados), exceto torneira</t>
  </si>
  <si>
    <t>14.9</t>
  </si>
  <si>
    <t>86906 - SINAPI</t>
  </si>
  <si>
    <t>Torneira para lavatório de mesa bica baixa</t>
  </si>
  <si>
    <t>14.10</t>
  </si>
  <si>
    <t>Papeleira metálica</t>
  </si>
  <si>
    <t>9.1</t>
  </si>
  <si>
    <t>Barra de apoio cor cromado</t>
  </si>
  <si>
    <t>Barra de apoio para lavatório "u", aço polido</t>
  </si>
  <si>
    <t>9.3</t>
  </si>
  <si>
    <t>Dispenser toalha</t>
  </si>
  <si>
    <t>95547 - SINAPI</t>
  </si>
  <si>
    <t>Saboneteira</t>
  </si>
  <si>
    <t>86920 - SINAPI</t>
  </si>
  <si>
    <t>Tanque grande (40 L) cor branco gelo incluso torneira</t>
  </si>
  <si>
    <t>86936 - SINAPI</t>
  </si>
  <si>
    <t>Cuba inox embutir 40x34x17cm, cuba 3, básica aço inoxidável, com válvula, com sifão em metal cromado 1.1/2x1.1/2" para pia - fornecimento e instalação</t>
  </si>
  <si>
    <t>86915 - SINAPI</t>
  </si>
  <si>
    <t>Torneira para cozinha de mesa bica móvel</t>
  </si>
  <si>
    <t>cuba industrial 50x40 profundidade 30, com sifão em metal cromado 1;1/2x1.1/2" para pia - fornecimento e instalação</t>
  </si>
  <si>
    <t>Torneira elétrica</t>
  </si>
  <si>
    <t>9535 - SINAPI</t>
  </si>
  <si>
    <t>chuveira, com mangueira plástica/desviador para duchas elétricas</t>
  </si>
  <si>
    <t>Torneira de parede de uso geral com bico para mangueira</t>
  </si>
  <si>
    <t>Asserto poliéster com abertura frontal, cor branco gelo</t>
  </si>
  <si>
    <t>86881 - SINAPI</t>
  </si>
  <si>
    <t>Sifão cromado para lavatório</t>
  </si>
  <si>
    <t>Lavatório de canto suspenso com mesa, cor branco gelo, sem coluna, (válvula, sifão e engate flexível cromados), exceto torneira</t>
  </si>
  <si>
    <t>Barra de apoio para box em "L", aço polido</t>
  </si>
  <si>
    <t>Cadeira articulada para banho</t>
  </si>
  <si>
    <t>Dispenser em ABS de alta resistência para papel higiênico em relo, cor branca</t>
  </si>
  <si>
    <t>86914 - SINAPI</t>
  </si>
  <si>
    <t>Torneira de parede de uso geral com arejador para jarfim ou anque, padrão alto</t>
  </si>
  <si>
    <t>Acabamento para registro pequeno</t>
  </si>
  <si>
    <t>TOTAL DE LOUÇAS E METAIS</t>
  </si>
  <si>
    <t>15.</t>
  </si>
  <si>
    <t>INSTALAÇÃO DE GÁS COMBUSTÍVEL</t>
  </si>
  <si>
    <t>15.1</t>
  </si>
  <si>
    <t>92688 - SINAPI</t>
  </si>
  <si>
    <t>Tubo de aço galvanizado Ø 3/4", fornecimento e instalação</t>
  </si>
  <si>
    <t>15.2</t>
  </si>
  <si>
    <t>93101- SINAPI</t>
  </si>
  <si>
    <t>Cotovelo de aço galvanizado Ø 3/4"</t>
  </si>
  <si>
    <t>15.3</t>
  </si>
  <si>
    <t>Fita anticorrosiva</t>
  </si>
  <si>
    <t>15.4</t>
  </si>
  <si>
    <t>Válvula esfera Ø 3/4" NPT 300</t>
  </si>
  <si>
    <t>15.5</t>
  </si>
  <si>
    <t>Registro 1º estágio c/ manômetro</t>
  </si>
  <si>
    <t>15.6</t>
  </si>
  <si>
    <t>Registro 2º estágio c/ manômetro</t>
  </si>
  <si>
    <t>Registro regulador</t>
  </si>
  <si>
    <t>85120 - SINAPI</t>
  </si>
  <si>
    <t>Manômetro NPT 1/4, 0 a 300 psi</t>
  </si>
  <si>
    <t>Placa de sinalização em pvc cod 01 - (500x300) Proibido fumar</t>
  </si>
  <si>
    <t>Placa de sinalização em pvc cod 06 - (500x300) Perigo inflamável</t>
  </si>
  <si>
    <t>TOTAL DE GÁS COMBUSTÍVEL</t>
  </si>
  <si>
    <t>16.</t>
  </si>
  <si>
    <t>SISTEMA DE PROTEÇÃO CONTRA INCÊNDIO</t>
  </si>
  <si>
    <t>16.1</t>
  </si>
  <si>
    <t>83635 - SINAPI</t>
  </si>
  <si>
    <t>Extintor PQS - 6kg</t>
  </si>
  <si>
    <t>16.2</t>
  </si>
  <si>
    <t>72947 - SINAPI</t>
  </si>
  <si>
    <t>Marcação no piso - 1 x 1m para hidrante</t>
  </si>
  <si>
    <t>16.3</t>
  </si>
  <si>
    <t>Luminária de emergência de 31 leds autonomia mínima de 1 hora</t>
  </si>
  <si>
    <t>16.4</t>
  </si>
  <si>
    <t>Placa de sinalização em pvc cod 13 - (316x158) Saída de emergência</t>
  </si>
  <si>
    <t>16.5</t>
  </si>
  <si>
    <t>Placa de sinalização em pvc cod 17 - (316x158) Mensagem "Saída"</t>
  </si>
  <si>
    <t>16.6</t>
  </si>
  <si>
    <t>Placa de sinalização em pvc cod 23 - (300x300) Extintor de incêndio</t>
  </si>
  <si>
    <t>TOTAL DE SISTEMA DE PROTEÇÃO CONTRA INCÊNDIO</t>
  </si>
  <si>
    <t>17.</t>
  </si>
  <si>
    <t>INSTALAÇÕES ELÉTRICAS E TELEFÔNICAS 220V</t>
  </si>
  <si>
    <t>17.1</t>
  </si>
  <si>
    <t>74131/4 - SINAPI</t>
  </si>
  <si>
    <t xml:space="preserve">Quadro dedistribuição de sobrepor, sem barramento, para 6 disjuntores padrão europeu (linha branca) esclusive disjuntores </t>
  </si>
  <si>
    <t>17.2</t>
  </si>
  <si>
    <t xml:space="preserve">Quadro dedistribuição de sobrepor, sem barramento, para 10 disjuntores padrão europeu (linha branca) esclusive disjuntores </t>
  </si>
  <si>
    <t>17.3</t>
  </si>
  <si>
    <t xml:space="preserve">Quadro dedistribuição de sobrepor, sem barramento, para 12 disjuntores padrão europeu (linha branca) esclusive disjuntores </t>
  </si>
  <si>
    <t>17.4</t>
  </si>
  <si>
    <t xml:space="preserve">Quadro dedistribuição de sobrepor, sem barramento, para 15 disjuntores padrão europeu (linha branca) esclusive disjuntores </t>
  </si>
  <si>
    <t>17.5</t>
  </si>
  <si>
    <t xml:space="preserve">Quadro dedistribuição de sobrepor, sem barramento, para 18 disjuntores padrão europeu (linha branca) esclusive disjuntores </t>
  </si>
  <si>
    <t>17.6</t>
  </si>
  <si>
    <t>74130/1 - SINAPI</t>
  </si>
  <si>
    <t>Disjuntor termomagnetico monofásico 15 A, padrão DIN (linha branca)</t>
  </si>
  <si>
    <t>17.7</t>
  </si>
  <si>
    <t>Disjuntor termomagnetico monofásico 20 A, padrão DIN (linha branca)</t>
  </si>
  <si>
    <t>17.8</t>
  </si>
  <si>
    <t>74130/4 - SINAPI</t>
  </si>
  <si>
    <t>Disjuntor termomagnetico trifásico 32 A, padrão DIN (linha branca)</t>
  </si>
  <si>
    <t>17.9</t>
  </si>
  <si>
    <t>Disjuntor termomagnetico monofásico 25 A, padrão DIN (linha branca)</t>
  </si>
  <si>
    <t>Disjuntor termomagnetico trifásico 50 A, padrão DIN (linha branca)</t>
  </si>
  <si>
    <t>74130/6 - SINAPI</t>
  </si>
  <si>
    <t>Disjuntor termomagnetico trifásico 150 A, padrão DIN (linha branca)</t>
  </si>
  <si>
    <t>91852 - SINAPI</t>
  </si>
  <si>
    <t>Eletroduto PVC flexível, Ø25mm (DN 1"), fornecimento e instalação</t>
  </si>
  <si>
    <t>91854 - SINAPI</t>
  </si>
  <si>
    <t>Eletroduto PVC flexível, Ø32mm (DN 1 1/4"), fornecimento e instalação</t>
  </si>
  <si>
    <t>91856 - SINAPI</t>
  </si>
  <si>
    <t>Eletroduto PVC flexível, Ø40mm (DN 1 1/2"), fornecimento e instalação</t>
  </si>
  <si>
    <t>91872 - SINAPI</t>
  </si>
  <si>
    <t>Eletroduto PVC rígido roscável, Ø25mm (DN 1"), fornecimento e instalação</t>
  </si>
  <si>
    <t>93009 - SINAPI</t>
  </si>
  <si>
    <t>Eletroduto PVC rígido roscável, Ø50mm (DN 2"), fornecimento e instalação</t>
  </si>
  <si>
    <t>93011 - SINAPI</t>
  </si>
  <si>
    <t>Eletroduto PVC rígido roscável, Ø75mm (DN 3"), fornecimento e instalação</t>
  </si>
  <si>
    <t>Perfilado metálico li 25x25m com suporte e fixação</t>
  </si>
  <si>
    <t>Perfilado metálico liso 35x38 com suporte e fixação</t>
  </si>
  <si>
    <t>83446 - SINAPI</t>
  </si>
  <si>
    <t>Caixa de passagem 30x30 com tampa</t>
  </si>
  <si>
    <t>43363 - DEINFRA</t>
  </si>
  <si>
    <t>Caixa de passagem DG - nº 2 20x20x12 cm em chapa metálica</t>
  </si>
  <si>
    <t>91940 - SINAPI</t>
  </si>
  <si>
    <t>Caixa de passagem PVC 4x2" - fornecimento e instalação</t>
  </si>
  <si>
    <t>91943 - SINAPI</t>
  </si>
  <si>
    <t>Caixa de passagem PVC 4x4" - fornecimento e instalação</t>
  </si>
  <si>
    <t>92866 - SINAPI</t>
  </si>
  <si>
    <t>Caixa metálica hexagonal para arandela 3x3"</t>
  </si>
  <si>
    <t>92865 - SINAPI</t>
  </si>
  <si>
    <t>Caixa de passagem de ferro esmaltada octogonal 4" dupla</t>
  </si>
  <si>
    <t>91937 - SINAPI</t>
  </si>
  <si>
    <t>Caixa de passagem PVC 3" octogonal</t>
  </si>
  <si>
    <t>95805 - SINAPI</t>
  </si>
  <si>
    <t>Condulete PVC 3/4"</t>
  </si>
  <si>
    <t>93358 - SINAPI</t>
  </si>
  <si>
    <t>Escavação manual de valas 1ª cat para tubulação</t>
  </si>
  <si>
    <t>91926 - SINAPI</t>
  </si>
  <si>
    <t>Condutor de cobre unipolar, isolação em PVC/70°C, camada de proteção em PVC, não propagador de chamas, classe de tensão 750V, encordoamento classe 5, flexível, com as seguintes seções nominais: #2,5mm²</t>
  </si>
  <si>
    <t>91928 - SINAPI</t>
  </si>
  <si>
    <t>Condutor de cobre unipolar, isolação em PVC/70°C, camada de proteção em PVC, não propagador de chamas, classe de tensão 750V, encordoamento classe 5, flexível, com as seguintes seções nominais: #4mm²</t>
  </si>
  <si>
    <t>91930 - SINAPI</t>
  </si>
  <si>
    <t>Condutor de cobre unipolar, isolação em PVC/70°C, camada de proteção em PVC, não propagador de chamas, classe de tensão 750V, encordoamento classe 5, flexível, com as seguintes seções nominais: #6mm²</t>
  </si>
  <si>
    <t>91932 - SINAPI</t>
  </si>
  <si>
    <t>Condutor de cobre unipolar, isolação em PVC/70°C, camada de proteção em PVC, não propagador de chamas, classe de tensão 750V, encordoamento classe 5, flexível, com as seguintes seções nominais: #10mm²</t>
  </si>
  <si>
    <t>92989 - SINAPI</t>
  </si>
  <si>
    <t>Condutor de cobre unipolar, isolação em PVC/70°C, camada de proteção em PVC, não propagador de chamas, classe de tensão 750V, encordoamento classe 5, flexível, com as seguintes seções nominais: #70mm²</t>
  </si>
  <si>
    <t>Cabo CCE-50 2 pares</t>
  </si>
  <si>
    <t>40017 - DEINFRA</t>
  </si>
  <si>
    <t>Cabo UTP categoria 5</t>
  </si>
  <si>
    <t>Cabo coaxial</t>
  </si>
  <si>
    <t>92000 - SINAPI</t>
  </si>
  <si>
    <t>Tomada universal, 2P+T, 10A/250V, corb ranca, completa</t>
  </si>
  <si>
    <t>92001 - SINAPI</t>
  </si>
  <si>
    <t>Tomada universal, 2P+T, 20A/250V, corb ranca, completa</t>
  </si>
  <si>
    <t>92008 - SINAPI</t>
  </si>
  <si>
    <t>Tomada universal dupla, 2P+T, 10A/250V, cor branca, completa</t>
  </si>
  <si>
    <t>Tomada dupola para piso</t>
  </si>
  <si>
    <t>92023 - SINAPI</t>
  </si>
  <si>
    <t>Interruptor simples 10A, completa</t>
  </si>
  <si>
    <t>91961 - SINAPI</t>
  </si>
  <si>
    <t>Interruptor duas seções 10A por seção, completa</t>
  </si>
  <si>
    <t>91969 - SINAPI</t>
  </si>
  <si>
    <t>Interruptor três seções 10A por seção, completa</t>
  </si>
  <si>
    <t>Interruptor tree-way 10A, completa</t>
  </si>
  <si>
    <t>83465 - SINAPI</t>
  </si>
  <si>
    <t>Interruptor for-way 10A, completa</t>
  </si>
  <si>
    <t>Interruptor simples 10A conjugado com tomada simples</t>
  </si>
  <si>
    <t>97608 - SINAPI</t>
  </si>
  <si>
    <t>Arandela de uso ao tempo</t>
  </si>
  <si>
    <t>Conector de TV tipo F</t>
  </si>
  <si>
    <t>73953/8 - SINAPI</t>
  </si>
  <si>
    <t>Luminárias 2x32W completa</t>
  </si>
  <si>
    <t>Luminária tipo drops para 1 lâmpada flourescente 60W</t>
  </si>
  <si>
    <t>Luminária tipo pétala, com 1 pétala para 1 lâmpada vapor de mercúrio 250W</t>
  </si>
  <si>
    <t>Arandela de sobrepor</t>
  </si>
  <si>
    <t>16.7</t>
  </si>
  <si>
    <t>Projetor de alumínio com lâmpada de vapor metálico de 150W - fornecimento e instalação</t>
  </si>
  <si>
    <t>16.8</t>
  </si>
  <si>
    <t>83397 - SINAPI</t>
  </si>
  <si>
    <t>Poste de concreto</t>
  </si>
  <si>
    <t>16.9</t>
  </si>
  <si>
    <t>72337 - SINAPI</t>
  </si>
  <si>
    <t>Tomada modular RF-45 categoria 6</t>
  </si>
  <si>
    <t>16.10</t>
  </si>
  <si>
    <t>TOTAL INSTALAÇÕES ELÉTRICAS E TELEFÔNICAS 220V</t>
  </si>
  <si>
    <t>16.11</t>
  </si>
  <si>
    <t>18.</t>
  </si>
  <si>
    <t>SISTEMA DE PROTEÇÃO CONTRA DESCARGAS ATMOSFÉRICAS (SPDA)</t>
  </si>
  <si>
    <t>18.1</t>
  </si>
  <si>
    <t>96989 - SINAPI</t>
  </si>
  <si>
    <t>Para-raio tipo Franklin</t>
  </si>
  <si>
    <t>16.12</t>
  </si>
  <si>
    <t>18.2</t>
  </si>
  <si>
    <t>Vergalhão CA - 25 # 10 mm²</t>
  </si>
  <si>
    <t>18.3</t>
  </si>
  <si>
    <t>16.13</t>
  </si>
  <si>
    <t>73782/5 - SINAPI</t>
  </si>
  <si>
    <t>Conector mini-bar em bronze estenho Tel-583</t>
  </si>
  <si>
    <t>18.4</t>
  </si>
  <si>
    <t>Caixa de equalização de potências 200x200mm em aço com barramento Expessura 6mm</t>
  </si>
  <si>
    <t>16.14</t>
  </si>
  <si>
    <t>18.5</t>
  </si>
  <si>
    <t>Haste tipo cooperweld 5/8" x 3,00m</t>
  </si>
  <si>
    <t>16.15</t>
  </si>
  <si>
    <t>18.6</t>
  </si>
  <si>
    <t>Cordoalha de cobre nu 35 mm²</t>
  </si>
  <si>
    <t>18.7</t>
  </si>
  <si>
    <t>Cordoalha de cobre nu 50 mm²</t>
  </si>
  <si>
    <t>18.8</t>
  </si>
  <si>
    <t>83370 - SINAPI</t>
  </si>
  <si>
    <t>Caixa deinspeção, PVC de 12", com tampo de aço galvanizado, conforme detalho no projeto</t>
  </si>
  <si>
    <t>72263 - SINAPI</t>
  </si>
  <si>
    <t>Conector de bronze para hase de 5/8" e cabo e 50mm²</t>
  </si>
  <si>
    <t>TOTAL DE SISTEMA DE PROTEÇÃO CONTRA DESCARGAS ATMOSFÉRICAS (SPDA)</t>
  </si>
  <si>
    <t>19.</t>
  </si>
  <si>
    <t>SERVIÇOS COMPLEMENTARES</t>
  </si>
  <si>
    <t>19.1</t>
  </si>
  <si>
    <t>Conjunto de mastro para três bandeiras e pedestal</t>
  </si>
  <si>
    <t>86889 - SINAPI</t>
  </si>
  <si>
    <t>Bancada em granito cinza andorinha - espessura 2cm, conforme projeto</t>
  </si>
  <si>
    <t>Prateleira, acabamento superior eb anco em granito cinza andorinha - espessura 2cm, conforme projeto</t>
  </si>
  <si>
    <t>Peitoril em granito cinza, largura=17,00cm espessura variável e pingadeira</t>
  </si>
  <si>
    <t>Portas para armário de cozinha em mdf com revestimento em fórmica conforme projeto</t>
  </si>
  <si>
    <t>Prateleira de madeira</t>
  </si>
  <si>
    <t>Bancos em concreto pré-moldado</t>
  </si>
  <si>
    <t>Brise fixo com ligações de alumínio e lâminas fixas de alumínio de 2,65mm de largura, cor terra cota</t>
  </si>
  <si>
    <t>TOTAL DE SERVIÇOS COMPLEMENTARES</t>
  </si>
  <si>
    <t>20.</t>
  </si>
  <si>
    <t>SERVIÇOS FINAIS</t>
  </si>
  <si>
    <t>20.1</t>
  </si>
  <si>
    <t>Limpeza geral</t>
  </si>
  <si>
    <t>TOTAL DE SERVIÇOS FINAIS</t>
  </si>
  <si>
    <t>21.</t>
  </si>
  <si>
    <t>SUPERESTRUTURA - QUADRA</t>
  </si>
  <si>
    <t>92422 - SINAPI</t>
  </si>
  <si>
    <t>Montagem e desmontagem de forma para pilares, em chapa de madeira compensada plastificada com reaproveitamento</t>
  </si>
  <si>
    <t>92921 - SINAPI</t>
  </si>
  <si>
    <t>Armação de aço CA-50 Ø 12,5mm; incluso fornecimento, corte, dobra e colocação</t>
  </si>
  <si>
    <t>92915 - SINAPI</t>
  </si>
  <si>
    <t>Concreto para Fundação fck=25MPa, incluindo preparo, lançamento, adensamento</t>
  </si>
  <si>
    <t>92526 - SINAPI</t>
  </si>
  <si>
    <t>Lastro de brita compactada, espessura 5cm</t>
  </si>
  <si>
    <t>68053 - SINAPI</t>
  </si>
  <si>
    <t>Fornecimento e instalação de lona plástica em laje de piso da quadra, espessura 150 micras</t>
  </si>
  <si>
    <t>85662 - SINAPI</t>
  </si>
  <si>
    <t>Armação em tela de aço Q-92, aço CA-60, 4,2mm, malha 15X15cm</t>
  </si>
  <si>
    <t>68325 SINAPI</t>
  </si>
  <si>
    <t>Piso em concreto 20MPa usinado, espessura 7cm, incluso selante a base de poliuretano (dimensões 1x1cm, para junta de dilatação)</t>
  </si>
  <si>
    <t>87489 - SINAPI</t>
  </si>
  <si>
    <t xml:space="preserve">Alvenaria de vedação de 1/2 vez em tijolos cerâmicos  (dimensões nominais: 39x19x09); assentamento em argamassa no traço 1:2:8 (cimento, cal e areia) </t>
  </si>
  <si>
    <t>Cobogó de concreto (elemento vazado-CB1)  - (10x40x40cm) assentado com argamassa traço 1:4 (cimento, areia)</t>
  </si>
  <si>
    <t>87489 SINAPI</t>
  </si>
  <si>
    <t>74202/2 - SINAPI</t>
  </si>
  <si>
    <t>Laje pré-moldada para assentos e=13cm</t>
  </si>
  <si>
    <t>TOTAL DE SUPERESTRUTURA - QUADRA</t>
  </si>
  <si>
    <t>22.</t>
  </si>
  <si>
    <t>SISTEMAS DE COBERTURA  - QUADRA</t>
  </si>
  <si>
    <t>Cobertura em telha metálica trapezoidal</t>
  </si>
  <si>
    <t>75220 - SINAPI</t>
  </si>
  <si>
    <t>Cumeeira para telha metalica trapezoidal</t>
  </si>
  <si>
    <t>Telha metálica trapezoidal perfurada</t>
  </si>
  <si>
    <t>Cobertura em telha translúcida trapezoidal</t>
  </si>
  <si>
    <t>94231 - SINAPI</t>
  </si>
  <si>
    <t>Rufo para telha metálica</t>
  </si>
  <si>
    <t>73970/2 - SINAPI</t>
  </si>
  <si>
    <t xml:space="preserve">Fornecimento e montagem de estrutura metálica conf. Projeto espec. </t>
  </si>
  <si>
    <t>TOTAL DE SISTEMAS DE COBERTURA  - QUADRA</t>
  </si>
  <si>
    <t>23.</t>
  </si>
  <si>
    <t>IMPERMEABILIZAÇÃO  - QUADRA</t>
  </si>
  <si>
    <t>Impermeabilização com tinta betuminosa em fundações (vigas baldrames)</t>
  </si>
  <si>
    <t>TOTAL DE IMPERMEABILIZAÇÃO  - QUADRA</t>
  </si>
  <si>
    <t>24.</t>
  </si>
  <si>
    <t>REVESTIMENTOS INTERNOS E EXTERNOS - QUADRA</t>
  </si>
  <si>
    <t>87878 - SINAPI</t>
  </si>
  <si>
    <t>Chapisco em  parede com argamassa traço - 1:3 (cimento / areia)</t>
  </si>
  <si>
    <t>87535 - SINAPI</t>
  </si>
  <si>
    <t>Emboço de parede interna com argamassa traço 1:2:8 (cimento, cal e areia), espessura 2cm</t>
  </si>
  <si>
    <t>87543 - SINAPI</t>
  </si>
  <si>
    <t>Reboco de parede, com argamassa traço - 1:2 (cal / areia), espessura 0,5 cm</t>
  </si>
  <si>
    <t>20.2</t>
  </si>
  <si>
    <t>TOTAL DE REVESTIMENTOS INTERNOS E EXTERNOS - QUADRA</t>
  </si>
  <si>
    <t>25.</t>
  </si>
  <si>
    <t>PINTURA - QUADRA</t>
  </si>
  <si>
    <t>20.3</t>
  </si>
  <si>
    <t>Pintura em latex acrílico 02 demãos sobre paredes internas e externas</t>
  </si>
  <si>
    <t>79460 - SINAPI</t>
  </si>
  <si>
    <t>Pintura prime epóxi para estrutura de concreto, 2 demãos</t>
  </si>
  <si>
    <t>20.4</t>
  </si>
  <si>
    <t>TOTAL DE PINTURA - QUADRA</t>
  </si>
  <si>
    <t>20.5</t>
  </si>
  <si>
    <t>26.</t>
  </si>
  <si>
    <t>INSTALAÇÕES ELÉTRICAS E TELEFÔNICAS 220V - QUADRA</t>
  </si>
  <si>
    <t>83463 - SINAPI</t>
  </si>
  <si>
    <t>Quadro de distribuição de sobrepor, sem barramento, para 6 disjuntores padrão europeu (linha branca), exclusive disjuntores</t>
  </si>
  <si>
    <t>un</t>
  </si>
  <si>
    <t>20.6</t>
  </si>
  <si>
    <t>93671 - SINAPI</t>
  </si>
  <si>
    <t>20.7</t>
  </si>
  <si>
    <t>Disjuntor tripolar termomagnético 32A</t>
  </si>
  <si>
    <t>93655 - SINAPI</t>
  </si>
  <si>
    <t>Disjuntor monopolar termomagnético 20A</t>
  </si>
  <si>
    <t>20.8</t>
  </si>
  <si>
    <t>91836 - SINAPI</t>
  </si>
  <si>
    <t>Eletroduto PVC flexível corrugado reforçado, Ø32mm (DN 1"), inclusive conexões</t>
  </si>
  <si>
    <t>20.9</t>
  </si>
  <si>
    <t>91864 - SINAPI</t>
  </si>
  <si>
    <t>Eletroduto PVC rigido roscavel, Ø32mm (DN 1"), inclusive conexões</t>
  </si>
  <si>
    <t>20.10</t>
  </si>
  <si>
    <t>Condutor de cobre unipolar, isolação em PVC/70ºC, camada de proteção em PVC, não propagador de chamas, classe de tensão 750V, encordoamento classe 5, flexível, com as seguintes seções nominais: #2,5 mm²</t>
  </si>
  <si>
    <t>20.11</t>
  </si>
  <si>
    <t>Condutor de cobre unipolar, isolação em PVC/70ºC, camada de proteção em PVC, não propagador de chamas, classe de tensão 750V, encordoamento classe 5, flexível, com as seguintes seções nominais: #6 mm²</t>
  </si>
  <si>
    <t>20.12</t>
  </si>
  <si>
    <t>Luminária pendente com lampada de vapor metalico de 250W</t>
  </si>
  <si>
    <t>20.13</t>
  </si>
  <si>
    <t>91996 - SINAPI</t>
  </si>
  <si>
    <t>Tomada universal, 10A, cor branca, completa</t>
  </si>
  <si>
    <t>TOTAL DE INSTALAÇÕES ELÉTRICAS E TELEFÔNICAS 220V - QUADRA</t>
  </si>
  <si>
    <t>27.</t>
  </si>
  <si>
    <t>SISTEMA DE PROTEÇÃO CONTRA DESCARGAS ATMOSFÉRICAS (SPDA) - QUADRA</t>
  </si>
  <si>
    <t>96985 - SINAPI</t>
  </si>
  <si>
    <t>Haste tipo coopperweld 5/8" x 3,00m</t>
  </si>
  <si>
    <t>96973 - SINAPI</t>
  </si>
  <si>
    <t>Cordoalha de cobre nu 50 mm2</t>
  </si>
  <si>
    <t>96974 - SINAPI</t>
  </si>
  <si>
    <t>Cordoalha de cobre nu 35 mm2</t>
  </si>
  <si>
    <t>98111 - SINAPI</t>
  </si>
  <si>
    <t>Caixa de inspeção com tampa em PVC, Ø 230mm x 250mm</t>
  </si>
  <si>
    <t>73782/2 - SINAPI</t>
  </si>
  <si>
    <t>Conector mini-gar em bronze estanhado</t>
  </si>
  <si>
    <t>TOTAL DE SISTEMA DE PROTEÇÃO CONTRA DESCARGAS ATMOSFÉRICAS (SPDA) - QUADRA</t>
  </si>
  <si>
    <t>28.</t>
  </si>
  <si>
    <t>Estrutura metálica c/ tabelas de basquete</t>
  </si>
  <si>
    <t>cj</t>
  </si>
  <si>
    <t>Estrutura metálica de traves de futsal</t>
  </si>
  <si>
    <t>Estrutura metálica p/ rede de voley</t>
  </si>
  <si>
    <t>74244/1 - SINAPI</t>
  </si>
  <si>
    <t>Alambrado para quadra poliesportiva, estruturado por tubos de aço galvanizado 2", com tela de arame galvanizado malha quadrada 5x5cm</t>
  </si>
  <si>
    <t>SERVIÇOS FINAIS - QUADRA</t>
  </si>
  <si>
    <t>TOTAL DE SERVIÇOS FINAIS - QUADRA</t>
  </si>
  <si>
    <t>ORÇAMENTO TOTAL</t>
  </si>
  <si>
    <t>PREÇO TOTAL S/ BDI</t>
  </si>
  <si>
    <t>PREÇO TOTAL C/ BDI</t>
  </si>
  <si>
    <t>PREÇO UNITÁRIO DO MATERIAL C/ BDI</t>
  </si>
  <si>
    <t>PREÇO UNITÁRIO DA MÃO DE OBRA  C/ BDI</t>
  </si>
  <si>
    <t>Etapa 1</t>
  </si>
  <si>
    <t>Etapa 2</t>
  </si>
  <si>
    <t>Etapa 3</t>
  </si>
  <si>
    <t>Etapa 4</t>
  </si>
  <si>
    <t>Etapa 5</t>
  </si>
  <si>
    <t>Etapa 6</t>
  </si>
  <si>
    <t>Etapa 7</t>
  </si>
  <si>
    <t>Etapa 8</t>
  </si>
  <si>
    <t>Etapa 9</t>
  </si>
  <si>
    <t>Etapa 10</t>
  </si>
  <si>
    <t>Etapa 11</t>
  </si>
  <si>
    <t>TOTAL</t>
  </si>
  <si>
    <t>1. SERVIÇOS PRELIMINARES</t>
  </si>
  <si>
    <t>2. SERVIÇOS EM TERRA</t>
  </si>
  <si>
    <t>3. FUNDAÇÕES</t>
  </si>
  <si>
    <t>4. ESTRUTURA</t>
  </si>
  <si>
    <t>5. SISTEMA DE VEDAÇÃO VERTICAL INTERNO E EXTERNO (PAREDES)</t>
  </si>
  <si>
    <t>6. ESQUADRIAS</t>
  </si>
  <si>
    <t>7. IMPERMEABILIZAÇÃO</t>
  </si>
  <si>
    <t>8. REVESTIMENTOS INTERNOS E EXTERNOS</t>
  </si>
  <si>
    <t>9. SISTEMAS DE PISOS INTERNOS E EXTERNOS (PAVIMENTAÇÃO)</t>
  </si>
  <si>
    <t>10. PINTURA</t>
  </si>
  <si>
    <t>11. INSTALAÇÕES HIDRÁULICAS</t>
  </si>
  <si>
    <t>12. INSTALAÇÕES SANITÁRIAS E DRENAGEM PLUVIAL</t>
  </si>
  <si>
    <t>13. REVESTIMENTO DE LOUÇA E METAIS</t>
  </si>
  <si>
    <t>14. INSTALAÇÃO DE GÁS COMBUSTÍVEL</t>
  </si>
  <si>
    <t>15. SISTEMA DEP ROTEÇÃO CONTRA INCÊNDIO</t>
  </si>
  <si>
    <t>16. INSTALAÇÕES ELÉTRICAS E TELEFÔNICAS 220V</t>
  </si>
  <si>
    <t>17. SISTEMA DE PROTEÇÃO CONTRA DESCARGAS ATMOSFÉRICAS (SPDA)</t>
  </si>
  <si>
    <t>18. SERVIÇOS COMPLEMENTARES</t>
  </si>
  <si>
    <t>19. SERVIÇOS FINAIS</t>
  </si>
  <si>
    <t>20. SUPERESTRUTURA - QUADRA</t>
  </si>
  <si>
    <t>21. SISTEMAS DE COBERTURA - QUADRA</t>
  </si>
  <si>
    <t>22. IMPERMEABILIZAÇÃO - QUADRA</t>
  </si>
  <si>
    <t>23. REVESTIMENTOS INTERNOS E EXTERNOS - QUADRA</t>
  </si>
  <si>
    <t>24. PINTURA - QUADRA</t>
  </si>
  <si>
    <t>25. INSTALAÇÕES ELÉTRICAS E TELEFÔNICAS 220V - QUADRA</t>
  </si>
  <si>
    <t>26. QUADRA</t>
  </si>
  <si>
    <t>27. SERVIÇOS COMPLEMENTARES</t>
  </si>
  <si>
    <t>28. SERVIÇOS FINAIS - QUADRA</t>
  </si>
  <si>
    <t>Total  da Etapa</t>
  </si>
  <si>
    <t>Total Acumulado</t>
  </si>
  <si>
    <t>Colocação de armadura</t>
  </si>
  <si>
    <t>Concretagem de estrutura de concreto armado</t>
  </si>
  <si>
    <t>1.8</t>
  </si>
  <si>
    <t>4.3</t>
  </si>
  <si>
    <t>4.4</t>
  </si>
  <si>
    <t>4.5</t>
  </si>
  <si>
    <t>4.6</t>
  </si>
  <si>
    <t>4.7</t>
  </si>
  <si>
    <t>8.4</t>
  </si>
  <si>
    <t>8.5</t>
  </si>
  <si>
    <t>8.6</t>
  </si>
  <si>
    <t>9.9</t>
  </si>
  <si>
    <t>9.10</t>
  </si>
  <si>
    <t>9.11</t>
  </si>
  <si>
    <t>9.12</t>
  </si>
  <si>
    <t>9.13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</si>
  <si>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</si>
  <si>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</si>
  <si>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</si>
  <si>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</si>
  <si>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</si>
  <si>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</si>
  <si>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</si>
  <si>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</si>
  <si>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</si>
  <si>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</si>
  <si>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</si>
  <si>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</si>
  <si>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</si>
  <si>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</si>
  <si>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</si>
  <si>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</si>
  <si>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</si>
  <si>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</si>
  <si>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</si>
  <si>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</si>
  <si>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</si>
  <si>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12.29</t>
  </si>
  <si>
    <t>12.30</t>
  </si>
  <si>
    <t>12.31</t>
  </si>
  <si>
    <t>12.32</t>
  </si>
  <si>
    <t>12.33</t>
  </si>
  <si>
    <t>16.16</t>
  </si>
  <si>
    <t>16.17</t>
  </si>
  <si>
    <t>16.18</t>
  </si>
  <si>
    <t>16.19</t>
  </si>
  <si>
    <t>16.20</t>
  </si>
  <si>
    <t>16.21</t>
  </si>
  <si>
    <t>16.22</t>
  </si>
  <si>
    <t>16.23</t>
  </si>
  <si>
    <t>16.24</t>
  </si>
  <si>
    <t>16.25</t>
  </si>
  <si>
    <t>16.26</t>
  </si>
  <si>
    <t>16.27</t>
  </si>
  <si>
    <t>16.28</t>
  </si>
  <si>
    <t>16.29</t>
  </si>
  <si>
    <t>16.30</t>
  </si>
  <si>
    <t>16.31</t>
  </si>
  <si>
    <t>16.32</t>
  </si>
  <si>
    <t>16.33</t>
  </si>
  <si>
    <t>16.34</t>
  </si>
  <si>
    <t>16.35</t>
  </si>
  <si>
    <t>16.36</t>
  </si>
  <si>
    <t>16.37</t>
  </si>
  <si>
    <t>16.38</t>
  </si>
  <si>
    <t>16.39</t>
  </si>
  <si>
    <t>16.40</t>
  </si>
  <si>
    <t>16.41</t>
  </si>
  <si>
    <t>16.42</t>
  </si>
  <si>
    <t>16.43</t>
  </si>
  <si>
    <t>16.44</t>
  </si>
  <si>
    <t>16.45</t>
  </si>
  <si>
    <t>16.46</t>
  </si>
  <si>
    <t>16.47</t>
  </si>
  <si>
    <t>16.48</t>
  </si>
  <si>
    <t>16.49</t>
  </si>
  <si>
    <t>16.50</t>
  </si>
  <si>
    <t>16.51</t>
  </si>
  <si>
    <t>16.52</t>
  </si>
  <si>
    <t>16.53</t>
  </si>
  <si>
    <t>16.54</t>
  </si>
  <si>
    <t>16.55</t>
  </si>
  <si>
    <t>21.1</t>
  </si>
  <si>
    <t>21.2</t>
  </si>
  <si>
    <t>21.3</t>
  </si>
  <si>
    <t>21.4</t>
  </si>
  <si>
    <t>21.5</t>
  </si>
  <si>
    <t>21.6</t>
  </si>
  <si>
    <t>22.1</t>
  </si>
  <si>
    <t>23.1</t>
  </si>
  <si>
    <t>23.2</t>
  </si>
  <si>
    <t>23.3</t>
  </si>
  <si>
    <t>24.1</t>
  </si>
  <si>
    <t>24.2</t>
  </si>
  <si>
    <t>25.1</t>
  </si>
  <si>
    <t>25.2</t>
  </si>
  <si>
    <t>25.3</t>
  </si>
  <si>
    <t>25.4</t>
  </si>
  <si>
    <t>25.5</t>
  </si>
  <si>
    <t>25.6</t>
  </si>
  <si>
    <t>25.7</t>
  </si>
  <si>
    <t>25.8</t>
  </si>
  <si>
    <t>25.9</t>
  </si>
  <si>
    <t>25.10</t>
  </si>
  <si>
    <t>26.1</t>
  </si>
  <si>
    <t>26.2</t>
  </si>
  <si>
    <t>26.3</t>
  </si>
  <si>
    <t>26.4</t>
  </si>
  <si>
    <t>26.5</t>
  </si>
  <si>
    <t>27.1</t>
  </si>
  <si>
    <t>27.2</t>
  </si>
  <si>
    <t>27.3</t>
  </si>
  <si>
    <t>27.4</t>
  </si>
  <si>
    <t>28.1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</si>
</sst>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R$&quot;#,##0.00;\-&quot;R$&quot;#,##0.00"/>
    <numFmt numFmtId="164" formatCode="_-&quot;R$&quot;\ * #,##0.00_-;\-&quot;R$&quot;\ * #,##0.00_-;_-&quot;R$&quot;\ * &quot;-&quot;??_-;_-@"/>
    <numFmt numFmtId="166" formatCode="_-* #,##0.00_-;\-* #,##0.00_-;_-* &quot;-&quot;??_-;_-@"/>
    <numFmt numFmtId="172" formatCode="d\.m"/>
    <numFmt numFmtId="173" formatCode="_(* #,##0.00_);_(* \(#,##0.00\);_(* &quot;-&quot;??_);_(@_)"/>
    <numFmt numFmtId="174" formatCode="_([$R$ -416]* #,##0.00_);_([$R$ -416]* \(#,##0.00\);_([$R$ -416]* &quot;-&quot;??_);_(@_)"/>
    <numFmt numFmtId="175" formatCode="&quot;R$&quot;\ #,##0.00;\-&quot;R$&quot;\ #,##0.00"/>
  </numFmts>
  <fonts count="14" x14ac:knownFonts="1">
    <font>
      <sz val="11"/>
      <color theme="1"/>
      <name val="Arial"/>
    </font>
    <font>
      <sz val="11"/>
      <color theme="1"/>
      <name val="Calibri"/>
      <family val="2"/>
      <scheme val="major"/>
    </font>
    <font>
      <sz val="11"/>
      <name val="Calibri"/>
      <family val="2"/>
      <scheme val="major"/>
    </font>
    <font>
      <b/>
      <sz val="11"/>
      <color theme="1"/>
      <name val="Calibri"/>
      <family val="2"/>
      <scheme val="major"/>
    </font>
    <font>
      <sz val="11"/>
      <color rgb="FF000000"/>
      <name val="Calibri"/>
      <family val="2"/>
      <scheme val="major"/>
    </font>
    <font>
      <b/>
      <sz val="11"/>
      <color rgb="FF000000"/>
      <name val="Calibri"/>
      <family val="2"/>
      <scheme val="major"/>
    </font>
    <font>
      <sz val="10"/>
      <color rgb="FF000000"/>
      <name val="Times New Roman"/>
      <family val="1"/>
    </font>
    <font>
      <b/>
      <sz val="8"/>
      <color indexed="63"/>
      <name val="MS Sans Serif"/>
      <charset val="1"/>
    </font>
    <font>
      <sz val="8"/>
      <color indexed="59"/>
      <name val="MS Sans Serif"/>
      <charset val="1"/>
    </font>
    <font>
      <b/>
      <sz val="9"/>
      <name val="Arial"/>
    </font>
    <font>
      <sz val="8"/>
      <name val="MS Sans Serif"/>
      <charset val="1"/>
    </font>
    <font>
      <sz val="9"/>
      <name val="Arial"/>
      <charset val="1"/>
    </font>
    <font>
      <sz val="8"/>
      <name val="MS Sans Serif"/>
      <family val="2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A5A5A5"/>
        <bgColor rgb="FFA5A5A5"/>
      </patternFill>
    </fill>
    <fill>
      <patternFill patternType="solid">
        <fgColor theme="6"/>
        <bgColor theme="6"/>
      </patternFill>
    </fill>
    <fill>
      <patternFill patternType="solid">
        <fgColor rgb="FFFFFFFF"/>
        <bgColor rgb="FFFFFFFF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</borders>
  <cellStyleXfs count="2">
    <xf numFmtId="0" fontId="0" fillId="0" borderId="0"/>
    <xf numFmtId="0" fontId="6" fillId="0" borderId="7"/>
  </cellStyleXfs>
  <cellXfs count="106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left"/>
    </xf>
    <xf numFmtId="166" fontId="1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166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1" xfId="0" applyFont="1" applyBorder="1"/>
    <xf numFmtId="166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166" fontId="1" fillId="4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/>
    <xf numFmtId="0" fontId="1" fillId="4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/>
    </xf>
    <xf numFmtId="166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0" fontId="1" fillId="2" borderId="1" xfId="0" applyFont="1" applyFill="1" applyBorder="1"/>
    <xf numFmtId="166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4" fillId="2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/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wrapText="1"/>
    </xf>
    <xf numFmtId="0" fontId="1" fillId="5" borderId="1" xfId="0" applyFont="1" applyFill="1" applyBorder="1"/>
    <xf numFmtId="166" fontId="1" fillId="5" borderId="1" xfId="0" applyNumberFormat="1" applyFont="1" applyFill="1" applyBorder="1" applyAlignment="1">
      <alignment horizontal="center"/>
    </xf>
    <xf numFmtId="164" fontId="4" fillId="5" borderId="1" xfId="0" applyNumberFormat="1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wrapText="1"/>
    </xf>
    <xf numFmtId="164" fontId="4" fillId="5" borderId="1" xfId="0" applyNumberFormat="1" applyFont="1" applyFill="1" applyBorder="1"/>
    <xf numFmtId="0" fontId="1" fillId="4" borderId="1" xfId="0" applyFont="1" applyFill="1" applyBorder="1" applyAlignment="1">
      <alignment horizontal="center"/>
    </xf>
    <xf numFmtId="166" fontId="4" fillId="5" borderId="1" xfId="0" applyNumberFormat="1" applyFont="1" applyFill="1" applyBorder="1" applyAlignment="1">
      <alignment horizontal="center"/>
    </xf>
    <xf numFmtId="0" fontId="4" fillId="5" borderId="1" xfId="0" applyFont="1" applyFill="1" applyBorder="1"/>
    <xf numFmtId="0" fontId="5" fillId="0" borderId="1" xfId="0" applyFont="1" applyBorder="1" applyAlignment="1">
      <alignment wrapText="1"/>
    </xf>
    <xf numFmtId="0" fontId="4" fillId="4" borderId="1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166" fontId="1" fillId="0" borderId="0" xfId="0" applyNumberFormat="1" applyFont="1"/>
    <xf numFmtId="164" fontId="1" fillId="0" borderId="0" xfId="0" applyNumberFormat="1" applyFont="1"/>
    <xf numFmtId="0" fontId="1" fillId="2" borderId="5" xfId="0" applyFont="1" applyFill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/>
    <xf numFmtId="0" fontId="10" fillId="0" borderId="9" xfId="0" applyFont="1" applyBorder="1" applyAlignment="1">
      <alignment horizontal="left" vertical="top" wrapText="1"/>
    </xf>
    <xf numFmtId="175" fontId="10" fillId="0" borderId="8" xfId="0" applyNumberFormat="1" applyFont="1" applyBorder="1" applyAlignment="1">
      <alignment horizontal="right" vertical="top" wrapText="1"/>
    </xf>
    <xf numFmtId="175" fontId="10" fillId="0" borderId="10" xfId="0" applyNumberFormat="1" applyFont="1" applyBorder="1" applyAlignment="1">
      <alignment horizontal="right" vertical="top" wrapText="1"/>
    </xf>
    <xf numFmtId="175" fontId="12" fillId="0" borderId="8" xfId="0" applyNumberFormat="1" applyFont="1" applyBorder="1" applyAlignment="1">
      <alignment horizontal="right" vertical="top" wrapText="1"/>
    </xf>
    <xf numFmtId="7" fontId="0" fillId="0" borderId="0" xfId="0" applyNumberFormat="1"/>
    <xf numFmtId="0" fontId="7" fillId="6" borderId="8" xfId="0" applyFont="1" applyFill="1" applyBorder="1" applyAlignment="1">
      <alignment horizontal="center" vertical="top" wrapText="1"/>
    </xf>
    <xf numFmtId="0" fontId="8" fillId="6" borderId="9" xfId="0" applyFont="1" applyFill="1" applyBorder="1" applyAlignment="1">
      <alignment horizontal="left" vertical="top" wrapText="1"/>
    </xf>
    <xf numFmtId="0" fontId="7" fillId="6" borderId="10" xfId="0" applyFont="1" applyFill="1" applyBorder="1" applyAlignment="1">
      <alignment horizontal="center" vertical="top" wrapText="1"/>
    </xf>
    <xf numFmtId="0" fontId="9" fillId="7" borderId="8" xfId="0" applyFont="1" applyFill="1" applyBorder="1" applyAlignment="1">
      <alignment horizontal="left" vertical="top" wrapText="1"/>
    </xf>
    <xf numFmtId="175" fontId="11" fillId="7" borderId="8" xfId="0" applyNumberFormat="1" applyFont="1" applyFill="1" applyBorder="1" applyAlignment="1">
      <alignment horizontal="right" vertical="top" wrapText="1"/>
    </xf>
    <xf numFmtId="0" fontId="11" fillId="7" borderId="8" xfId="0" applyFont="1" applyFill="1" applyBorder="1" applyAlignment="1">
      <alignment horizontal="right" vertical="top" wrapText="1"/>
    </xf>
    <xf numFmtId="0" fontId="1" fillId="0" borderId="0" xfId="0" applyFont="1" applyAlignment="1"/>
    <xf numFmtId="0" fontId="1" fillId="0" borderId="3" xfId="0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73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72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4" xfId="0" applyFont="1" applyBorder="1"/>
    <xf numFmtId="0" fontId="3" fillId="3" borderId="3" xfId="0" applyFont="1" applyFill="1" applyBorder="1" applyAlignment="1">
      <alignment horizontal="center" vertical="center"/>
    </xf>
    <xf numFmtId="166" fontId="3" fillId="3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7" borderId="1" xfId="0" applyFont="1" applyFill="1" applyBorder="1" applyAlignment="1">
      <alignment horizontal="center"/>
    </xf>
    <xf numFmtId="0" fontId="3" fillId="7" borderId="1" xfId="0" applyFont="1" applyFill="1" applyBorder="1"/>
    <xf numFmtId="0" fontId="1" fillId="7" borderId="1" xfId="0" applyFont="1" applyFill="1" applyBorder="1"/>
    <xf numFmtId="166" fontId="1" fillId="7" borderId="1" xfId="0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174" fontId="1" fillId="7" borderId="1" xfId="0" applyNumberFormat="1" applyFont="1" applyFill="1" applyBorder="1"/>
  </cellXfs>
  <cellStyles count="2">
    <cellStyle name="Normal" xfId="0" builtinId="0"/>
    <cellStyle name="Normal 2" xfId="1" xr:uid="{AFCDBC6F-008E-491C-94B2-2E15F61C0E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6E7B9-BC39-4C51-AF13-C5314FEAA505}">
  <sheetPr>
    <pageSetUpPr fitToPage="1"/>
  </sheetPr>
  <dimension ref="A1:K871"/>
  <sheetViews>
    <sheetView workbookViewId="0">
      <selection activeCell="D700" sqref="D700"/>
    </sheetView>
  </sheetViews>
  <sheetFormatPr defaultColWidth="12.625" defaultRowHeight="15" x14ac:dyDescent="0.25"/>
  <cols>
    <col min="1" max="2" width="14.5" style="2" customWidth="1"/>
    <col min="3" max="3" width="59.625" style="2" customWidth="1"/>
    <col min="4" max="4" width="8.5" style="2" customWidth="1"/>
    <col min="5" max="5" width="12.125" style="2" customWidth="1"/>
    <col min="6" max="6" width="19.375" style="2" customWidth="1"/>
    <col min="7" max="7" width="16.75" style="2" customWidth="1"/>
    <col min="8" max="8" width="17.125" style="2" customWidth="1"/>
    <col min="9" max="9" width="19.375" style="2" customWidth="1"/>
    <col min="10" max="10" width="16.75" style="2" customWidth="1"/>
    <col min="11" max="11" width="17.125" style="2" customWidth="1"/>
    <col min="12" max="16384" width="12.625" style="2"/>
  </cols>
  <sheetData>
    <row r="1" spans="1:11" ht="27" customHeight="1" x14ac:dyDescent="0.25">
      <c r="A1" s="96" t="s">
        <v>0</v>
      </c>
      <c r="B1" s="96" t="s">
        <v>36</v>
      </c>
      <c r="C1" s="98" t="s">
        <v>1</v>
      </c>
      <c r="D1" s="96" t="s">
        <v>2</v>
      </c>
      <c r="E1" s="97" t="s">
        <v>3</v>
      </c>
      <c r="F1" s="93" t="s">
        <v>4</v>
      </c>
      <c r="G1" s="93" t="s">
        <v>5</v>
      </c>
      <c r="H1" s="93" t="s">
        <v>725</v>
      </c>
      <c r="I1" s="93" t="s">
        <v>727</v>
      </c>
      <c r="J1" s="93" t="s">
        <v>728</v>
      </c>
      <c r="K1" s="93" t="s">
        <v>726</v>
      </c>
    </row>
    <row r="2" spans="1:11" ht="31.5" customHeight="1" x14ac:dyDescent="0.2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1" x14ac:dyDescent="0.25">
      <c r="A4" s="3" t="s">
        <v>6</v>
      </c>
      <c r="B4" s="3"/>
      <c r="C4" s="4" t="s">
        <v>7</v>
      </c>
      <c r="D4" s="5"/>
      <c r="E4" s="6"/>
      <c r="F4" s="7"/>
      <c r="G4" s="8"/>
      <c r="H4" s="8"/>
      <c r="I4" s="7"/>
      <c r="J4" s="8"/>
      <c r="K4" s="8"/>
    </row>
    <row r="5" spans="1:11" x14ac:dyDescent="0.25">
      <c r="A5" s="9" t="s">
        <v>8</v>
      </c>
      <c r="B5" s="9" t="s">
        <v>37</v>
      </c>
      <c r="C5" s="10" t="s">
        <v>38</v>
      </c>
      <c r="D5" s="11" t="s">
        <v>9</v>
      </c>
      <c r="E5" s="12">
        <v>6.4</v>
      </c>
      <c r="F5" s="13">
        <v>303.33</v>
      </c>
      <c r="G5" s="14">
        <v>42.11</v>
      </c>
      <c r="H5" s="14"/>
      <c r="I5" s="13">
        <f t="shared" ref="I5:I20" si="0">F5*1.2439</f>
        <v>377.31218699999999</v>
      </c>
      <c r="J5" s="14">
        <f t="shared" ref="J5:J20" si="1">G5*1.2439</f>
        <v>52.380628999999999</v>
      </c>
      <c r="K5" s="14"/>
    </row>
    <row r="6" spans="1:11" x14ac:dyDescent="0.25">
      <c r="A6" s="15"/>
      <c r="B6" s="15"/>
      <c r="C6" s="10"/>
      <c r="D6" s="16"/>
      <c r="E6" s="17"/>
      <c r="F6" s="14">
        <f>E5*F5</f>
        <v>1941.3119999999999</v>
      </c>
      <c r="G6" s="14">
        <f>E5*G5</f>
        <v>269.50400000000002</v>
      </c>
      <c r="H6" s="14">
        <f>SUM(F6:G6)</f>
        <v>2210.8159999999998</v>
      </c>
      <c r="I6" s="13">
        <f t="shared" si="0"/>
        <v>2414.7979968</v>
      </c>
      <c r="J6" s="14">
        <f t="shared" si="1"/>
        <v>335.2360256</v>
      </c>
      <c r="K6" s="14">
        <f>J6+I6</f>
        <v>2750.0340224000001</v>
      </c>
    </row>
    <row r="7" spans="1:11" ht="30" customHeight="1" x14ac:dyDescent="0.25">
      <c r="A7" s="19" t="s">
        <v>10</v>
      </c>
      <c r="B7" s="19" t="s">
        <v>39</v>
      </c>
      <c r="C7" s="10" t="s">
        <v>40</v>
      </c>
      <c r="D7" s="11" t="s">
        <v>9</v>
      </c>
      <c r="E7" s="17">
        <v>15</v>
      </c>
      <c r="F7" s="14">
        <f>0.08+624.73+0.12</f>
        <v>624.93000000000006</v>
      </c>
      <c r="G7" s="14">
        <v>163.13999999999999</v>
      </c>
      <c r="H7" s="14"/>
      <c r="I7" s="13">
        <f t="shared" si="0"/>
        <v>777.35042700000008</v>
      </c>
      <c r="J7" s="14">
        <f t="shared" si="1"/>
        <v>202.929846</v>
      </c>
      <c r="K7" s="14"/>
    </row>
    <row r="8" spans="1:11" x14ac:dyDescent="0.25">
      <c r="A8" s="9"/>
      <c r="B8" s="9"/>
      <c r="C8" s="10"/>
      <c r="D8" s="11"/>
      <c r="E8" s="11"/>
      <c r="F8" s="14">
        <f>E7*F7</f>
        <v>9373.9500000000007</v>
      </c>
      <c r="G8" s="14">
        <f>E7*G7</f>
        <v>2447.1</v>
      </c>
      <c r="H8" s="14">
        <f>SUM(F8:G8)</f>
        <v>11821.050000000001</v>
      </c>
      <c r="I8" s="13">
        <f t="shared" si="0"/>
        <v>11660.256405</v>
      </c>
      <c r="J8" s="14">
        <f t="shared" si="1"/>
        <v>3043.94769</v>
      </c>
      <c r="K8" s="14">
        <f>J8+I8</f>
        <v>14704.204095000001</v>
      </c>
    </row>
    <row r="9" spans="1:11" x14ac:dyDescent="0.25">
      <c r="A9" s="9" t="s">
        <v>11</v>
      </c>
      <c r="B9" s="9" t="s">
        <v>41</v>
      </c>
      <c r="C9" s="10" t="s">
        <v>42</v>
      </c>
      <c r="D9" s="11" t="s">
        <v>9</v>
      </c>
      <c r="E9" s="17">
        <v>15</v>
      </c>
      <c r="F9" s="14">
        <f>0.08+493.86+0.13</f>
        <v>494.07</v>
      </c>
      <c r="G9" s="14">
        <v>113.96</v>
      </c>
      <c r="H9" s="14"/>
      <c r="I9" s="13">
        <f t="shared" si="0"/>
        <v>614.57367299999999</v>
      </c>
      <c r="J9" s="14">
        <f t="shared" si="1"/>
        <v>141.75484399999999</v>
      </c>
      <c r="K9" s="14"/>
    </row>
    <row r="10" spans="1:11" x14ac:dyDescent="0.25">
      <c r="A10" s="9"/>
      <c r="B10" s="9"/>
      <c r="C10" s="10"/>
      <c r="D10" s="11"/>
      <c r="E10" s="11"/>
      <c r="F10" s="14">
        <f>E9*F9</f>
        <v>7411.05</v>
      </c>
      <c r="G10" s="14">
        <f>E9*G9</f>
        <v>1709.3999999999999</v>
      </c>
      <c r="H10" s="14">
        <f>SUM(F10:G10)</f>
        <v>9120.4500000000007</v>
      </c>
      <c r="I10" s="13">
        <f t="shared" si="0"/>
        <v>9218.6050950000008</v>
      </c>
      <c r="J10" s="14">
        <f t="shared" si="1"/>
        <v>2126.3226599999998</v>
      </c>
      <c r="K10" s="14">
        <f>J10+I10</f>
        <v>11344.927755000001</v>
      </c>
    </row>
    <row r="11" spans="1:11" ht="30" customHeight="1" x14ac:dyDescent="0.25">
      <c r="A11" s="9" t="s">
        <v>12</v>
      </c>
      <c r="B11" s="9" t="s">
        <v>43</v>
      </c>
      <c r="C11" s="10" t="s">
        <v>44</v>
      </c>
      <c r="D11" s="11" t="s">
        <v>9</v>
      </c>
      <c r="E11" s="17">
        <v>2928.38</v>
      </c>
      <c r="F11" s="13">
        <v>2.81</v>
      </c>
      <c r="G11" s="14">
        <v>2.14</v>
      </c>
      <c r="H11" s="14"/>
      <c r="I11" s="13">
        <f t="shared" si="0"/>
        <v>3.4953590000000001</v>
      </c>
      <c r="J11" s="14">
        <f t="shared" si="1"/>
        <v>2.6619460000000004</v>
      </c>
      <c r="K11" s="14"/>
    </row>
    <row r="12" spans="1:11" ht="15.75" customHeight="1" x14ac:dyDescent="0.25">
      <c r="A12" s="9"/>
      <c r="B12" s="9"/>
      <c r="C12" s="10"/>
      <c r="D12" s="11"/>
      <c r="E12" s="12"/>
      <c r="F12" s="13">
        <f>E11*F11</f>
        <v>8228.747800000001</v>
      </c>
      <c r="G12" s="14">
        <f>E11*G11</f>
        <v>6266.7332000000006</v>
      </c>
      <c r="H12" s="14">
        <f>SUM(F12:G12)</f>
        <v>14495.481000000002</v>
      </c>
      <c r="I12" s="13">
        <f t="shared" si="0"/>
        <v>10235.739388420001</v>
      </c>
      <c r="J12" s="14">
        <f t="shared" si="1"/>
        <v>7795.1894274800006</v>
      </c>
      <c r="K12" s="14">
        <f>J12+I12</f>
        <v>18030.928815900003</v>
      </c>
    </row>
    <row r="13" spans="1:11" ht="30" customHeight="1" x14ac:dyDescent="0.25">
      <c r="A13" s="9" t="s">
        <v>13</v>
      </c>
      <c r="B13" s="9" t="s">
        <v>45</v>
      </c>
      <c r="C13" s="10" t="s">
        <v>46</v>
      </c>
      <c r="D13" s="11" t="s">
        <v>47</v>
      </c>
      <c r="E13" s="12">
        <v>1</v>
      </c>
      <c r="F13" s="13">
        <v>14949.36</v>
      </c>
      <c r="G13" s="14">
        <v>244.8</v>
      </c>
      <c r="H13" s="14"/>
      <c r="I13" s="13">
        <f t="shared" si="0"/>
        <v>18595.508904000002</v>
      </c>
      <c r="J13" s="14">
        <f t="shared" si="1"/>
        <v>304.50672000000003</v>
      </c>
      <c r="K13" s="14"/>
    </row>
    <row r="14" spans="1:11" ht="15.75" customHeight="1" x14ac:dyDescent="0.25">
      <c r="A14" s="9"/>
      <c r="B14" s="9"/>
      <c r="C14" s="10"/>
      <c r="D14" s="11"/>
      <c r="E14" s="12"/>
      <c r="F14" s="13">
        <f>E13*F13</f>
        <v>14949.36</v>
      </c>
      <c r="G14" s="14">
        <f>E13*G13</f>
        <v>244.8</v>
      </c>
      <c r="H14" s="14">
        <f>SUM(F14:G14)</f>
        <v>15194.16</v>
      </c>
      <c r="I14" s="13">
        <f t="shared" si="0"/>
        <v>18595.508904000002</v>
      </c>
      <c r="J14" s="14">
        <f t="shared" si="1"/>
        <v>304.50672000000003</v>
      </c>
      <c r="K14" s="14">
        <f>J14+I14</f>
        <v>18900.015624000003</v>
      </c>
    </row>
    <row r="15" spans="1:11" ht="15.75" customHeight="1" x14ac:dyDescent="0.25">
      <c r="A15" s="19" t="s">
        <v>14</v>
      </c>
      <c r="B15" s="19" t="s">
        <v>48</v>
      </c>
      <c r="C15" s="10" t="s">
        <v>49</v>
      </c>
      <c r="D15" s="11" t="s">
        <v>47</v>
      </c>
      <c r="E15" s="17">
        <v>1</v>
      </c>
      <c r="F15" s="14">
        <v>441.47</v>
      </c>
      <c r="G15" s="14">
        <v>174.6</v>
      </c>
      <c r="H15" s="14"/>
      <c r="I15" s="13">
        <f t="shared" si="0"/>
        <v>549.14453300000002</v>
      </c>
      <c r="J15" s="14">
        <f t="shared" si="1"/>
        <v>217.18493999999998</v>
      </c>
      <c r="K15" s="14"/>
    </row>
    <row r="16" spans="1:11" ht="15.75" customHeight="1" x14ac:dyDescent="0.25">
      <c r="A16" s="19"/>
      <c r="B16" s="19"/>
      <c r="C16" s="10"/>
      <c r="D16" s="11"/>
      <c r="E16" s="17"/>
      <c r="F16" s="14">
        <f>E15*F15</f>
        <v>441.47</v>
      </c>
      <c r="G16" s="14">
        <f>E15*G15</f>
        <v>174.6</v>
      </c>
      <c r="H16" s="14">
        <f>SUM(F16:G16)</f>
        <v>616.07000000000005</v>
      </c>
      <c r="I16" s="13">
        <f t="shared" si="0"/>
        <v>549.14453300000002</v>
      </c>
      <c r="J16" s="14">
        <f t="shared" si="1"/>
        <v>217.18493999999998</v>
      </c>
      <c r="K16" s="14">
        <f>J16+I16</f>
        <v>766.32947300000001</v>
      </c>
    </row>
    <row r="17" spans="1:11" ht="15.75" customHeight="1" x14ac:dyDescent="0.25">
      <c r="A17" s="19" t="s">
        <v>50</v>
      </c>
      <c r="B17" s="19" t="s">
        <v>48</v>
      </c>
      <c r="C17" s="20" t="s">
        <v>51</v>
      </c>
      <c r="D17" s="11" t="s">
        <v>47</v>
      </c>
      <c r="E17" s="12">
        <v>1</v>
      </c>
      <c r="F17" s="13">
        <v>500.37</v>
      </c>
      <c r="G17" s="14">
        <v>95</v>
      </c>
      <c r="H17" s="14"/>
      <c r="I17" s="13">
        <f t="shared" si="0"/>
        <v>622.41024300000004</v>
      </c>
      <c r="J17" s="14">
        <f t="shared" si="1"/>
        <v>118.1705</v>
      </c>
      <c r="K17" s="14"/>
    </row>
    <row r="18" spans="1:11" ht="15.75" customHeight="1" x14ac:dyDescent="0.25">
      <c r="A18" s="19"/>
      <c r="B18" s="19"/>
      <c r="C18" s="10"/>
      <c r="D18" s="16"/>
      <c r="E18" s="17"/>
      <c r="F18" s="14">
        <f>E17*F17</f>
        <v>500.37</v>
      </c>
      <c r="G18" s="14">
        <f>E17*G17</f>
        <v>95</v>
      </c>
      <c r="H18" s="14">
        <f>SUM(F18:G18)</f>
        <v>595.37</v>
      </c>
      <c r="I18" s="13">
        <f t="shared" si="0"/>
        <v>622.41024300000004</v>
      </c>
      <c r="J18" s="14">
        <f t="shared" si="1"/>
        <v>118.1705</v>
      </c>
      <c r="K18" s="14">
        <f>J18+I18</f>
        <v>740.58074299999998</v>
      </c>
    </row>
    <row r="19" spans="1:11" ht="30" customHeight="1" x14ac:dyDescent="0.25">
      <c r="A19" s="9" t="s">
        <v>773</v>
      </c>
      <c r="B19" s="9" t="s">
        <v>52</v>
      </c>
      <c r="C19" s="10" t="s">
        <v>53</v>
      </c>
      <c r="D19" s="16" t="s">
        <v>9</v>
      </c>
      <c r="E19" s="17">
        <f>30*2.2</f>
        <v>66</v>
      </c>
      <c r="F19" s="14">
        <v>24.6</v>
      </c>
      <c r="G19" s="14">
        <v>29.84</v>
      </c>
      <c r="H19" s="14"/>
      <c r="I19" s="13">
        <f t="shared" si="0"/>
        <v>30.59994</v>
      </c>
      <c r="J19" s="14">
        <f t="shared" si="1"/>
        <v>37.117975999999999</v>
      </c>
      <c r="K19" s="14"/>
    </row>
    <row r="20" spans="1:11" ht="15.75" customHeight="1" x14ac:dyDescent="0.25">
      <c r="A20" s="9"/>
      <c r="B20" s="9"/>
      <c r="C20" s="10"/>
      <c r="D20" s="16"/>
      <c r="E20" s="17"/>
      <c r="F20" s="14">
        <f>E19*F19</f>
        <v>1623.6000000000001</v>
      </c>
      <c r="G20" s="14">
        <f>E19*G19</f>
        <v>1969.44</v>
      </c>
      <c r="H20" s="14">
        <f>SUM(F20:G20)</f>
        <v>3593.04</v>
      </c>
      <c r="I20" s="13">
        <f t="shared" si="0"/>
        <v>2019.5960400000001</v>
      </c>
      <c r="J20" s="14">
        <f t="shared" si="1"/>
        <v>2449.7864159999999</v>
      </c>
      <c r="K20" s="14">
        <f>J20+I20</f>
        <v>4469.3824560000003</v>
      </c>
    </row>
    <row r="21" spans="1:11" ht="15.75" customHeight="1" x14ac:dyDescent="0.25">
      <c r="A21" s="9"/>
      <c r="B21" s="9"/>
      <c r="C21" s="10"/>
      <c r="D21" s="11"/>
      <c r="E21" s="12"/>
      <c r="F21" s="13"/>
      <c r="G21" s="14"/>
      <c r="H21" s="14"/>
      <c r="I21" s="13"/>
      <c r="J21" s="14"/>
      <c r="K21" s="14"/>
    </row>
    <row r="22" spans="1:11" ht="15.75" customHeight="1" x14ac:dyDescent="0.25">
      <c r="A22" s="9"/>
      <c r="B22" s="9"/>
      <c r="C22" s="21" t="s">
        <v>15</v>
      </c>
      <c r="D22" s="16"/>
      <c r="E22" s="17"/>
      <c r="F22" s="14">
        <f t="shared" ref="F22:J22" si="2">F20+F18+F16+F14+F12+F8+F6+F10</f>
        <v>44469.859800000006</v>
      </c>
      <c r="G22" s="14">
        <f t="shared" si="2"/>
        <v>13176.577200000002</v>
      </c>
      <c r="H22" s="14">
        <f>SUM(F22:G22)</f>
        <v>57646.437000000005</v>
      </c>
      <c r="I22" s="14">
        <f t="shared" si="2"/>
        <v>55316.058605220001</v>
      </c>
      <c r="J22" s="14">
        <f t="shared" si="2"/>
        <v>16390.344379080001</v>
      </c>
      <c r="K22" s="14">
        <f>SUM(I22:J22)</f>
        <v>71706.402984300003</v>
      </c>
    </row>
    <row r="23" spans="1:11" ht="15.75" customHeight="1" x14ac:dyDescent="0.25">
      <c r="A23" s="9"/>
      <c r="B23" s="9"/>
      <c r="C23" s="10"/>
      <c r="D23" s="16"/>
      <c r="E23" s="17"/>
      <c r="F23" s="14"/>
      <c r="G23" s="14"/>
      <c r="H23" s="14"/>
      <c r="I23" s="14"/>
      <c r="J23" s="14"/>
      <c r="K23" s="14"/>
    </row>
    <row r="24" spans="1:11" ht="15.75" customHeight="1" x14ac:dyDescent="0.25">
      <c r="A24" s="3" t="s">
        <v>16</v>
      </c>
      <c r="B24" s="3"/>
      <c r="C24" s="4" t="s">
        <v>17</v>
      </c>
      <c r="D24" s="5"/>
      <c r="E24" s="22"/>
      <c r="F24" s="8"/>
      <c r="G24" s="8"/>
      <c r="H24" s="8"/>
      <c r="I24" s="8"/>
      <c r="J24" s="8"/>
      <c r="K24" s="8"/>
    </row>
    <row r="25" spans="1:11" ht="30" customHeight="1" x14ac:dyDescent="0.25">
      <c r="A25" s="9" t="s">
        <v>18</v>
      </c>
      <c r="B25" s="9" t="s">
        <v>54</v>
      </c>
      <c r="C25" s="10" t="s">
        <v>55</v>
      </c>
      <c r="D25" s="16" t="s">
        <v>19</v>
      </c>
      <c r="E25" s="17">
        <v>412.26</v>
      </c>
      <c r="F25" s="14">
        <f>0.91+18.91</f>
        <v>19.82</v>
      </c>
      <c r="G25" s="18">
        <v>18.46</v>
      </c>
      <c r="H25" s="14"/>
      <c r="I25" s="13">
        <f>F25*1.2439</f>
        <v>24.654098000000001</v>
      </c>
      <c r="J25" s="14">
        <f>G25*1.2439</f>
        <v>22.962394</v>
      </c>
      <c r="K25" s="14"/>
    </row>
    <row r="26" spans="1:11" ht="15.75" customHeight="1" x14ac:dyDescent="0.25">
      <c r="A26" s="9"/>
      <c r="B26" s="9"/>
      <c r="C26" s="10"/>
      <c r="D26" s="1"/>
      <c r="E26" s="17"/>
      <c r="F26" s="14">
        <f>F25*E25</f>
        <v>8170.9931999999999</v>
      </c>
      <c r="G26" s="18">
        <f>E25*G25</f>
        <v>7610.3195999999998</v>
      </c>
      <c r="H26" s="14">
        <f>SUM(F26:G26)</f>
        <v>15781.3128</v>
      </c>
      <c r="I26" s="13">
        <f>F26*1.2439</f>
        <v>10163.89844148</v>
      </c>
      <c r="J26" s="14">
        <f>G26*1.2439</f>
        <v>9466.4765504400002</v>
      </c>
      <c r="K26" s="14">
        <f>J26+I26</f>
        <v>19630.374991919998</v>
      </c>
    </row>
    <row r="27" spans="1:11" ht="15.75" customHeight="1" x14ac:dyDescent="0.25">
      <c r="A27" s="15"/>
      <c r="B27" s="15"/>
      <c r="C27" s="10"/>
      <c r="D27" s="16"/>
      <c r="E27" s="17"/>
      <c r="F27" s="14"/>
      <c r="G27" s="18"/>
      <c r="H27" s="14"/>
      <c r="I27" s="14"/>
      <c r="J27" s="18"/>
      <c r="K27" s="14"/>
    </row>
    <row r="28" spans="1:11" ht="15.75" customHeight="1" x14ac:dyDescent="0.25">
      <c r="A28" s="15"/>
      <c r="B28" s="15"/>
      <c r="C28" s="21" t="s">
        <v>20</v>
      </c>
      <c r="D28" s="11"/>
      <c r="E28" s="12"/>
      <c r="F28" s="14">
        <f t="shared" ref="F28:J28" si="3">F26</f>
        <v>8170.9931999999999</v>
      </c>
      <c r="G28" s="14">
        <f t="shared" si="3"/>
        <v>7610.3195999999998</v>
      </c>
      <c r="H28" s="14">
        <f>SUM(F28:G28)</f>
        <v>15781.3128</v>
      </c>
      <c r="I28" s="14">
        <f t="shared" si="3"/>
        <v>10163.89844148</v>
      </c>
      <c r="J28" s="14">
        <f t="shared" si="3"/>
        <v>9466.4765504400002</v>
      </c>
      <c r="K28" s="14">
        <f>SUM(I28:J28)</f>
        <v>19630.374991919998</v>
      </c>
    </row>
    <row r="29" spans="1:11" ht="15.75" customHeight="1" x14ac:dyDescent="0.25">
      <c r="A29" s="15"/>
      <c r="B29" s="15"/>
      <c r="C29" s="10"/>
      <c r="D29" s="16"/>
      <c r="E29" s="17"/>
      <c r="F29" s="14"/>
      <c r="G29" s="18"/>
      <c r="H29" s="14"/>
      <c r="I29" s="14"/>
      <c r="J29" s="18"/>
      <c r="K29" s="14"/>
    </row>
    <row r="30" spans="1:11" ht="15.75" customHeight="1" x14ac:dyDescent="0.25">
      <c r="A30" s="3" t="s">
        <v>21</v>
      </c>
      <c r="B30" s="3"/>
      <c r="C30" s="4" t="s">
        <v>56</v>
      </c>
      <c r="D30" s="24"/>
      <c r="E30" s="22"/>
      <c r="F30" s="8"/>
      <c r="G30" s="23"/>
      <c r="H30" s="8"/>
      <c r="I30" s="8"/>
      <c r="J30" s="23"/>
      <c r="K30" s="8"/>
    </row>
    <row r="31" spans="1:11" ht="30" customHeight="1" x14ac:dyDescent="0.25">
      <c r="A31" s="9" t="s">
        <v>22</v>
      </c>
      <c r="B31" s="9" t="s">
        <v>57</v>
      </c>
      <c r="C31" s="10" t="s">
        <v>58</v>
      </c>
      <c r="D31" s="16" t="s">
        <v>9</v>
      </c>
      <c r="E31" s="17">
        <v>137</v>
      </c>
      <c r="F31" s="14">
        <f>0.07+14.15+0.08</f>
        <v>14.3</v>
      </c>
      <c r="G31" s="18">
        <v>8.08</v>
      </c>
      <c r="H31" s="14"/>
      <c r="I31" s="13">
        <f t="shared" ref="I31:J34" si="4">F31*1.2439</f>
        <v>17.787770000000002</v>
      </c>
      <c r="J31" s="14">
        <f t="shared" si="4"/>
        <v>10.050712000000001</v>
      </c>
      <c r="K31" s="14"/>
    </row>
    <row r="32" spans="1:11" ht="15.75" customHeight="1" x14ac:dyDescent="0.25">
      <c r="A32" s="9"/>
      <c r="B32" s="9"/>
      <c r="C32" s="10"/>
      <c r="D32" s="11"/>
      <c r="E32" s="17"/>
      <c r="F32" s="14">
        <f>E31*F31</f>
        <v>1959.1000000000001</v>
      </c>
      <c r="G32" s="18">
        <f>E31*G31</f>
        <v>1106.96</v>
      </c>
      <c r="H32" s="14">
        <f>SUM(F32:G32)</f>
        <v>3066.0600000000004</v>
      </c>
      <c r="I32" s="13">
        <f t="shared" si="4"/>
        <v>2436.9244900000003</v>
      </c>
      <c r="J32" s="14">
        <f t="shared" si="4"/>
        <v>1376.9475440000001</v>
      </c>
      <c r="K32" s="14">
        <f>J32+I32</f>
        <v>3813.8720340000004</v>
      </c>
    </row>
    <row r="33" spans="1:11" ht="15.75" customHeight="1" x14ac:dyDescent="0.25">
      <c r="A33" s="19" t="s">
        <v>23</v>
      </c>
      <c r="B33" s="19" t="s">
        <v>59</v>
      </c>
      <c r="C33" s="10" t="s">
        <v>60</v>
      </c>
      <c r="D33" s="16" t="s">
        <v>19</v>
      </c>
      <c r="E33" s="17">
        <v>3.92</v>
      </c>
      <c r="F33" s="14">
        <f>0.05+376.21+0.07</f>
        <v>376.33</v>
      </c>
      <c r="G33" s="18">
        <v>21.6</v>
      </c>
      <c r="H33" s="14"/>
      <c r="I33" s="13">
        <f t="shared" si="4"/>
        <v>468.11688699999996</v>
      </c>
      <c r="J33" s="14">
        <f t="shared" si="4"/>
        <v>26.86824</v>
      </c>
      <c r="K33" s="14"/>
    </row>
    <row r="34" spans="1:11" ht="15.75" customHeight="1" x14ac:dyDescent="0.25">
      <c r="A34" s="19"/>
      <c r="B34" s="19"/>
      <c r="C34" s="10"/>
      <c r="D34" s="16"/>
      <c r="E34" s="17"/>
      <c r="F34" s="14">
        <f>E33*F33</f>
        <v>1475.2135999999998</v>
      </c>
      <c r="G34" s="18">
        <f>E33*G33</f>
        <v>84.671999999999997</v>
      </c>
      <c r="H34" s="14">
        <f>SUM(F34:G34)</f>
        <v>1559.8855999999998</v>
      </c>
      <c r="I34" s="13">
        <f t="shared" si="4"/>
        <v>1835.0181970399997</v>
      </c>
      <c r="J34" s="14">
        <f t="shared" si="4"/>
        <v>105.32350079999999</v>
      </c>
      <c r="K34" s="14">
        <f>J34+I34</f>
        <v>1940.3416978399996</v>
      </c>
    </row>
    <row r="35" spans="1:11" ht="15.75" customHeight="1" x14ac:dyDescent="0.25">
      <c r="A35" s="9"/>
      <c r="B35" s="9"/>
      <c r="C35" s="10"/>
      <c r="D35" s="16"/>
      <c r="E35" s="17"/>
      <c r="F35" s="14"/>
      <c r="G35" s="18"/>
      <c r="H35" s="14"/>
      <c r="I35" s="14"/>
      <c r="J35" s="18"/>
      <c r="K35" s="14"/>
    </row>
    <row r="36" spans="1:11" ht="15.75" customHeight="1" x14ac:dyDescent="0.25">
      <c r="A36" s="9"/>
      <c r="B36" s="9"/>
      <c r="C36" s="21" t="s">
        <v>61</v>
      </c>
      <c r="D36" s="16"/>
      <c r="E36" s="17"/>
      <c r="F36" s="14">
        <f t="shared" ref="F36:J36" si="5">F34+F32</f>
        <v>3434.3136</v>
      </c>
      <c r="G36" s="14">
        <f t="shared" si="5"/>
        <v>1191.6320000000001</v>
      </c>
      <c r="H36" s="14">
        <f>SUM(F36,G36)</f>
        <v>4625.9456</v>
      </c>
      <c r="I36" s="14">
        <f t="shared" si="5"/>
        <v>4271.9426870400002</v>
      </c>
      <c r="J36" s="14">
        <f t="shared" si="5"/>
        <v>1482.2710448</v>
      </c>
      <c r="K36" s="14">
        <f>SUM(I36,J36)</f>
        <v>5754.21373184</v>
      </c>
    </row>
    <row r="37" spans="1:11" ht="15.75" customHeight="1" x14ac:dyDescent="0.25">
      <c r="A37" s="9"/>
      <c r="B37" s="9"/>
      <c r="C37" s="10"/>
      <c r="D37" s="11"/>
      <c r="E37" s="12"/>
      <c r="F37" s="14"/>
      <c r="G37" s="18"/>
      <c r="H37" s="14"/>
      <c r="I37" s="14"/>
      <c r="J37" s="18"/>
      <c r="K37" s="14"/>
    </row>
    <row r="38" spans="1:11" ht="15.75" customHeight="1" x14ac:dyDescent="0.25">
      <c r="A38" s="3" t="s">
        <v>25</v>
      </c>
      <c r="B38" s="3"/>
      <c r="C38" s="4" t="s">
        <v>62</v>
      </c>
      <c r="D38" s="24"/>
      <c r="E38" s="22"/>
      <c r="F38" s="8"/>
      <c r="G38" s="23"/>
      <c r="H38" s="8"/>
      <c r="I38" s="8"/>
      <c r="J38" s="23"/>
      <c r="K38" s="8"/>
    </row>
    <row r="39" spans="1:11" ht="45" customHeight="1" x14ac:dyDescent="0.25">
      <c r="A39" s="19" t="s">
        <v>26</v>
      </c>
      <c r="B39" s="19" t="s">
        <v>63</v>
      </c>
      <c r="C39" s="10" t="s">
        <v>64</v>
      </c>
      <c r="D39" s="11" t="s">
        <v>9</v>
      </c>
      <c r="E39" s="17">
        <f>768.78*0.15</f>
        <v>115.31699999999999</v>
      </c>
      <c r="F39" s="14">
        <f>14.39+13.41+0.01</f>
        <v>27.810000000000002</v>
      </c>
      <c r="G39" s="18">
        <v>19.260000000000002</v>
      </c>
      <c r="H39" s="14"/>
      <c r="I39" s="13">
        <f t="shared" ref="I39:I52" si="6">F39*1.2439</f>
        <v>34.592859000000004</v>
      </c>
      <c r="J39" s="14">
        <f t="shared" ref="J39:J52" si="7">G39*1.2439</f>
        <v>23.957514000000003</v>
      </c>
      <c r="K39" s="14"/>
    </row>
    <row r="40" spans="1:11" ht="15.75" customHeight="1" x14ac:dyDescent="0.25">
      <c r="A40" s="19"/>
      <c r="B40" s="19"/>
      <c r="C40" s="10"/>
      <c r="D40" s="16"/>
      <c r="E40" s="17"/>
      <c r="F40" s="14">
        <f>E39*F39</f>
        <v>3206.9657700000002</v>
      </c>
      <c r="G40" s="18">
        <f>E39*G39</f>
        <v>2221.00542</v>
      </c>
      <c r="H40" s="14">
        <f>SUM(F40,G40)</f>
        <v>5427.9711900000002</v>
      </c>
      <c r="I40" s="13">
        <f t="shared" si="6"/>
        <v>3989.1447213030006</v>
      </c>
      <c r="J40" s="14">
        <f t="shared" si="7"/>
        <v>2762.7086419379998</v>
      </c>
      <c r="K40" s="14">
        <f>J40+I40</f>
        <v>6751.8533632409999</v>
      </c>
    </row>
    <row r="41" spans="1:11" ht="15.75" customHeight="1" x14ac:dyDescent="0.25">
      <c r="A41" s="19" t="s">
        <v>27</v>
      </c>
      <c r="B41" s="9" t="s">
        <v>65</v>
      </c>
      <c r="C41" s="10" t="s">
        <v>771</v>
      </c>
      <c r="D41" s="11" t="s">
        <v>66</v>
      </c>
      <c r="E41" s="17">
        <f>1522.64*0.15</f>
        <v>228.39600000000002</v>
      </c>
      <c r="F41" s="14">
        <v>5.89</v>
      </c>
      <c r="G41" s="18">
        <v>1.92</v>
      </c>
      <c r="H41" s="14"/>
      <c r="I41" s="13">
        <f t="shared" si="6"/>
        <v>7.3265709999999995</v>
      </c>
      <c r="J41" s="14">
        <f t="shared" si="7"/>
        <v>2.3882879999999997</v>
      </c>
      <c r="K41" s="14"/>
    </row>
    <row r="42" spans="1:11" ht="15.75" customHeight="1" x14ac:dyDescent="0.25">
      <c r="A42" s="19"/>
      <c r="B42" s="19"/>
      <c r="C42" s="10"/>
      <c r="D42" s="16"/>
      <c r="E42" s="17"/>
      <c r="F42" s="14">
        <f>E41*F41</f>
        <v>1345.25244</v>
      </c>
      <c r="G42" s="18">
        <f>E41*G41</f>
        <v>438.52032000000003</v>
      </c>
      <c r="H42" s="14">
        <f>SUM(F42,G42)</f>
        <v>1783.7727600000001</v>
      </c>
      <c r="I42" s="13">
        <f t="shared" si="6"/>
        <v>1673.3595101159999</v>
      </c>
      <c r="J42" s="14">
        <f t="shared" si="7"/>
        <v>545.47542604800003</v>
      </c>
      <c r="K42" s="14">
        <f>J42+I42</f>
        <v>2218.8349361639998</v>
      </c>
    </row>
    <row r="43" spans="1:11" ht="15.75" customHeight="1" x14ac:dyDescent="0.25">
      <c r="A43" s="19" t="s">
        <v>774</v>
      </c>
      <c r="B43" s="9" t="s">
        <v>67</v>
      </c>
      <c r="C43" s="10" t="s">
        <v>771</v>
      </c>
      <c r="D43" s="11" t="s">
        <v>66</v>
      </c>
      <c r="E43" s="17">
        <f>2515.91*0.15</f>
        <v>377.38649999999996</v>
      </c>
      <c r="F43" s="14">
        <v>5.45</v>
      </c>
      <c r="G43" s="18">
        <v>1.36</v>
      </c>
      <c r="H43" s="14"/>
      <c r="I43" s="13">
        <f t="shared" si="6"/>
        <v>6.779255</v>
      </c>
      <c r="J43" s="14">
        <f t="shared" si="7"/>
        <v>1.6917040000000001</v>
      </c>
      <c r="K43" s="14"/>
    </row>
    <row r="44" spans="1:11" ht="15.75" customHeight="1" x14ac:dyDescent="0.25">
      <c r="A44" s="19"/>
      <c r="B44" s="19"/>
      <c r="C44" s="10"/>
      <c r="D44" s="16"/>
      <c r="E44" s="17"/>
      <c r="F44" s="14">
        <f>E43*F43</f>
        <v>2056.756425</v>
      </c>
      <c r="G44" s="18">
        <f>E43*G43</f>
        <v>513.24563999999998</v>
      </c>
      <c r="H44" s="14">
        <f>SUM(F44,G44)</f>
        <v>2570.0020650000001</v>
      </c>
      <c r="I44" s="13">
        <f t="shared" si="6"/>
        <v>2558.3993170575</v>
      </c>
      <c r="J44" s="14">
        <f t="shared" si="7"/>
        <v>638.42625159599993</v>
      </c>
      <c r="K44" s="14">
        <f>J44+I44</f>
        <v>3196.8255686534999</v>
      </c>
    </row>
    <row r="45" spans="1:11" ht="15.75" customHeight="1" x14ac:dyDescent="0.25">
      <c r="A45" s="19" t="s">
        <v>775</v>
      </c>
      <c r="B45" s="9" t="s">
        <v>69</v>
      </c>
      <c r="C45" s="10" t="s">
        <v>771</v>
      </c>
      <c r="D45" s="11" t="s">
        <v>66</v>
      </c>
      <c r="E45" s="17">
        <f>34.91*0.15</f>
        <v>5.2364999999999995</v>
      </c>
      <c r="F45" s="14">
        <v>5.28</v>
      </c>
      <c r="G45" s="18">
        <v>0.89</v>
      </c>
      <c r="H45" s="14"/>
      <c r="I45" s="13">
        <f t="shared" si="6"/>
        <v>6.5677920000000007</v>
      </c>
      <c r="J45" s="14">
        <f t="shared" si="7"/>
        <v>1.1070709999999999</v>
      </c>
      <c r="K45" s="14"/>
    </row>
    <row r="46" spans="1:11" ht="15.75" customHeight="1" x14ac:dyDescent="0.25">
      <c r="A46" s="19"/>
      <c r="B46" s="19"/>
      <c r="C46" s="10"/>
      <c r="D46" s="16"/>
      <c r="E46" s="17"/>
      <c r="F46" s="14">
        <f>E45*F45</f>
        <v>27.648719999999997</v>
      </c>
      <c r="G46" s="18">
        <f>E45*G45</f>
        <v>4.6604849999999995</v>
      </c>
      <c r="H46" s="14">
        <f>SUM(F46,G46)</f>
        <v>32.309204999999999</v>
      </c>
      <c r="I46" s="13">
        <f t="shared" si="6"/>
        <v>34.392242807999999</v>
      </c>
      <c r="J46" s="14">
        <f t="shared" si="7"/>
        <v>5.7971772914999997</v>
      </c>
      <c r="K46" s="14">
        <f>J46+I46</f>
        <v>40.189420099499998</v>
      </c>
    </row>
    <row r="47" spans="1:11" ht="15.75" customHeight="1" x14ac:dyDescent="0.25">
      <c r="A47" s="19" t="s">
        <v>776</v>
      </c>
      <c r="B47" s="9" t="s">
        <v>71</v>
      </c>
      <c r="C47" s="10" t="s">
        <v>771</v>
      </c>
      <c r="D47" s="11" t="s">
        <v>66</v>
      </c>
      <c r="E47" s="17">
        <f>1023.73*0.15</f>
        <v>153.55949999999999</v>
      </c>
      <c r="F47" s="14">
        <v>6.9</v>
      </c>
      <c r="G47" s="18">
        <v>5.39</v>
      </c>
      <c r="H47" s="14"/>
      <c r="I47" s="13">
        <f t="shared" si="6"/>
        <v>8.58291</v>
      </c>
      <c r="J47" s="14">
        <f t="shared" si="7"/>
        <v>6.7046209999999995</v>
      </c>
      <c r="K47" s="14"/>
    </row>
    <row r="48" spans="1:11" ht="15.75" customHeight="1" x14ac:dyDescent="0.25">
      <c r="A48" s="19"/>
      <c r="B48" s="19"/>
      <c r="C48" s="10"/>
      <c r="D48" s="16"/>
      <c r="E48" s="17"/>
      <c r="F48" s="14">
        <f>E47*F47</f>
        <v>1059.5605499999999</v>
      </c>
      <c r="G48" s="18">
        <f>E47*G47</f>
        <v>827.68570499999987</v>
      </c>
      <c r="H48" s="14">
        <f>SUM(F48,G48)</f>
        <v>1887.2462549999998</v>
      </c>
      <c r="I48" s="13">
        <f t="shared" si="6"/>
        <v>1317.9873681449999</v>
      </c>
      <c r="J48" s="14">
        <f t="shared" si="7"/>
        <v>1029.5582484494998</v>
      </c>
      <c r="K48" s="14">
        <f>J48+I48</f>
        <v>2347.5456165944997</v>
      </c>
    </row>
    <row r="49" spans="1:11" ht="15.75" customHeight="1" x14ac:dyDescent="0.25">
      <c r="A49" s="19" t="s">
        <v>777</v>
      </c>
      <c r="B49" s="19" t="s">
        <v>59</v>
      </c>
      <c r="C49" s="10" t="s">
        <v>772</v>
      </c>
      <c r="D49" s="11" t="s">
        <v>19</v>
      </c>
      <c r="E49" s="17">
        <f>42.43*0.15</f>
        <v>6.3644999999999996</v>
      </c>
      <c r="F49" s="14">
        <f>0.05+376.21+0.07</f>
        <v>376.33</v>
      </c>
      <c r="G49" s="18">
        <v>21.6</v>
      </c>
      <c r="H49" s="14"/>
      <c r="I49" s="13">
        <f t="shared" si="6"/>
        <v>468.11688699999996</v>
      </c>
      <c r="J49" s="14">
        <f t="shared" si="7"/>
        <v>26.86824</v>
      </c>
      <c r="K49" s="14"/>
    </row>
    <row r="50" spans="1:11" ht="15.75" customHeight="1" x14ac:dyDescent="0.25">
      <c r="A50" s="19"/>
      <c r="B50" s="19"/>
      <c r="C50" s="10"/>
      <c r="D50" s="16"/>
      <c r="E50" s="17"/>
      <c r="F50" s="14">
        <f>E49*F49</f>
        <v>2395.1522849999997</v>
      </c>
      <c r="G50" s="18">
        <f>E49*G49</f>
        <v>137.47319999999999</v>
      </c>
      <c r="H50" s="14">
        <f>SUM(F50,G50)</f>
        <v>2532.6254849999996</v>
      </c>
      <c r="I50" s="13">
        <f t="shared" si="6"/>
        <v>2979.3299273114994</v>
      </c>
      <c r="J50" s="14">
        <f t="shared" si="7"/>
        <v>171.00291347999999</v>
      </c>
      <c r="K50" s="14">
        <f>J50+I50</f>
        <v>3150.3328407914996</v>
      </c>
    </row>
    <row r="51" spans="1:11" ht="15.75" customHeight="1" x14ac:dyDescent="0.25">
      <c r="A51" s="19" t="s">
        <v>778</v>
      </c>
      <c r="B51" s="19" t="s">
        <v>75</v>
      </c>
      <c r="C51" s="10" t="s">
        <v>76</v>
      </c>
      <c r="D51" s="11" t="s">
        <v>9</v>
      </c>
      <c r="E51" s="17">
        <f>1210.17*0.15</f>
        <v>181.52549999999999</v>
      </c>
      <c r="F51" s="14">
        <f>0.03+50.62+0.04</f>
        <v>50.69</v>
      </c>
      <c r="G51" s="18">
        <v>17.11</v>
      </c>
      <c r="H51" s="14"/>
      <c r="I51" s="13">
        <f t="shared" si="6"/>
        <v>63.053290999999994</v>
      </c>
      <c r="J51" s="14">
        <f t="shared" si="7"/>
        <v>21.283128999999999</v>
      </c>
      <c r="K51" s="14"/>
    </row>
    <row r="52" spans="1:11" ht="15.75" customHeight="1" x14ac:dyDescent="0.25">
      <c r="A52" s="19"/>
      <c r="B52" s="19"/>
      <c r="C52" s="10"/>
      <c r="D52" s="16"/>
      <c r="E52" s="17"/>
      <c r="F52" s="14">
        <f>E51*F51</f>
        <v>9201.5275949999996</v>
      </c>
      <c r="G52" s="18">
        <f>E51*G51</f>
        <v>3105.9013049999999</v>
      </c>
      <c r="H52" s="14">
        <f>SUM(F52,G52)</f>
        <v>12307.428899999999</v>
      </c>
      <c r="I52" s="13">
        <f t="shared" si="6"/>
        <v>11445.780175420499</v>
      </c>
      <c r="J52" s="14">
        <f t="shared" si="7"/>
        <v>3863.4306332894998</v>
      </c>
      <c r="K52" s="14">
        <f>J52+I52</f>
        <v>15309.210808709999</v>
      </c>
    </row>
    <row r="53" spans="1:11" ht="15.75" customHeight="1" x14ac:dyDescent="0.25">
      <c r="A53" s="19"/>
      <c r="B53" s="19"/>
      <c r="C53" s="10"/>
      <c r="D53" s="16"/>
      <c r="E53" s="17"/>
      <c r="F53" s="14"/>
      <c r="G53" s="18"/>
      <c r="H53" s="14"/>
      <c r="I53" s="14"/>
      <c r="J53" s="18"/>
      <c r="K53" s="14"/>
    </row>
    <row r="54" spans="1:11" ht="15.75" customHeight="1" x14ac:dyDescent="0.25">
      <c r="A54" s="25"/>
      <c r="B54" s="25"/>
      <c r="C54" s="26" t="s">
        <v>28</v>
      </c>
      <c r="D54" s="11"/>
      <c r="E54" s="12"/>
      <c r="F54" s="14">
        <f t="shared" ref="F54:J54" si="8">F52+F50+F48+F46+F44+F42+F40</f>
        <v>19292.863784999998</v>
      </c>
      <c r="G54" s="14">
        <f t="shared" si="8"/>
        <v>7248.4920749999983</v>
      </c>
      <c r="H54" s="14">
        <f>SUM(F54,G54)</f>
        <v>26541.355859999996</v>
      </c>
      <c r="I54" s="14">
        <f t="shared" si="8"/>
        <v>23998.393262161499</v>
      </c>
      <c r="J54" s="14">
        <f t="shared" si="8"/>
        <v>9016.3992920924993</v>
      </c>
      <c r="K54" s="14">
        <f>SUM(I54,J54)</f>
        <v>33014.792554253996</v>
      </c>
    </row>
    <row r="55" spans="1:11" ht="15.75" customHeight="1" x14ac:dyDescent="0.25">
      <c r="A55" s="9"/>
      <c r="B55" s="9"/>
      <c r="C55" s="10"/>
      <c r="D55" s="16"/>
      <c r="E55" s="17"/>
      <c r="F55" s="14"/>
      <c r="G55" s="18"/>
      <c r="H55" s="14"/>
      <c r="I55" s="14"/>
      <c r="J55" s="18"/>
      <c r="K55" s="14"/>
    </row>
    <row r="56" spans="1:11" ht="15.75" customHeight="1" x14ac:dyDescent="0.25">
      <c r="A56" s="3" t="s">
        <v>29</v>
      </c>
      <c r="B56" s="3"/>
      <c r="C56" s="4" t="s">
        <v>79</v>
      </c>
      <c r="D56" s="5"/>
      <c r="E56" s="22"/>
      <c r="F56" s="8"/>
      <c r="G56" s="23"/>
      <c r="H56" s="8"/>
      <c r="I56" s="8"/>
      <c r="J56" s="23"/>
      <c r="K56" s="8"/>
    </row>
    <row r="57" spans="1:11" ht="30" customHeight="1" x14ac:dyDescent="0.25">
      <c r="A57" s="9" t="s">
        <v>30</v>
      </c>
      <c r="B57" s="9" t="s">
        <v>80</v>
      </c>
      <c r="C57" s="10" t="s">
        <v>81</v>
      </c>
      <c r="D57" s="11" t="s">
        <v>9</v>
      </c>
      <c r="E57" s="12">
        <f>24.72*0.6</f>
        <v>14.831999999999999</v>
      </c>
      <c r="F57" s="14">
        <v>103.05</v>
      </c>
      <c r="G57" s="18">
        <v>25.09</v>
      </c>
      <c r="H57" s="14"/>
      <c r="I57" s="13">
        <f t="shared" ref="I57:I68" si="9">F57*1.2439</f>
        <v>128.18389500000001</v>
      </c>
      <c r="J57" s="14">
        <f t="shared" ref="J57:J68" si="10">G57*1.2439</f>
        <v>31.209451000000001</v>
      </c>
      <c r="K57" s="14"/>
    </row>
    <row r="58" spans="1:11" ht="15.75" customHeight="1" x14ac:dyDescent="0.25">
      <c r="A58" s="9"/>
      <c r="B58" s="9"/>
      <c r="C58" s="10"/>
      <c r="D58" s="16"/>
      <c r="E58" s="17"/>
      <c r="F58" s="14">
        <f>E57*F57</f>
        <v>1528.4375999999997</v>
      </c>
      <c r="G58" s="18">
        <f>E57*G57</f>
        <v>372.13487999999995</v>
      </c>
      <c r="H58" s="14">
        <f>SUM(F58,G58)</f>
        <v>1900.5724799999998</v>
      </c>
      <c r="I58" s="13">
        <f t="shared" si="9"/>
        <v>1901.2235306399998</v>
      </c>
      <c r="J58" s="14">
        <f t="shared" si="10"/>
        <v>462.89857723199992</v>
      </c>
      <c r="K58" s="14">
        <f>J58+I58</f>
        <v>2364.1221078719996</v>
      </c>
    </row>
    <row r="59" spans="1:11" ht="45" customHeight="1" x14ac:dyDescent="0.25">
      <c r="A59" s="9" t="s">
        <v>31</v>
      </c>
      <c r="B59" s="9" t="s">
        <v>83</v>
      </c>
      <c r="C59" s="10" t="s">
        <v>84</v>
      </c>
      <c r="D59" s="11" t="s">
        <v>9</v>
      </c>
      <c r="E59" s="17">
        <f>2088.81*0.1</f>
        <v>208.881</v>
      </c>
      <c r="F59" s="14">
        <v>37.57</v>
      </c>
      <c r="G59" s="18">
        <v>16.899999999999999</v>
      </c>
      <c r="H59" s="14"/>
      <c r="I59" s="13">
        <f t="shared" si="9"/>
        <v>46.733322999999999</v>
      </c>
      <c r="J59" s="14">
        <f t="shared" si="10"/>
        <v>21.021909999999998</v>
      </c>
      <c r="K59" s="14"/>
    </row>
    <row r="60" spans="1:11" ht="15.75" customHeight="1" x14ac:dyDescent="0.25">
      <c r="A60" s="9"/>
      <c r="B60" s="9"/>
      <c r="C60" s="10"/>
      <c r="D60" s="11"/>
      <c r="E60" s="17"/>
      <c r="F60" s="14">
        <f>E59*F59</f>
        <v>7847.6591699999999</v>
      </c>
      <c r="G60" s="18">
        <f>E59*G59</f>
        <v>3530.0888999999997</v>
      </c>
      <c r="H60" s="14">
        <f>SUM(F60,G60)</f>
        <v>11377.74807</v>
      </c>
      <c r="I60" s="13">
        <f t="shared" si="9"/>
        <v>9761.7032415630001</v>
      </c>
      <c r="J60" s="14">
        <f t="shared" si="10"/>
        <v>4391.0775827099997</v>
      </c>
      <c r="K60" s="14">
        <f>J60+I60</f>
        <v>14152.780824272999</v>
      </c>
    </row>
    <row r="61" spans="1:11" ht="15.75" customHeight="1" x14ac:dyDescent="0.25">
      <c r="A61" s="9" t="s">
        <v>32</v>
      </c>
      <c r="B61" s="9" t="s">
        <v>86</v>
      </c>
      <c r="C61" s="10" t="s">
        <v>87</v>
      </c>
      <c r="D61" s="11" t="s">
        <v>9</v>
      </c>
      <c r="E61" s="12">
        <v>13.62</v>
      </c>
      <c r="F61" s="14">
        <f>28.98+0.01</f>
        <v>28.990000000000002</v>
      </c>
      <c r="G61" s="18">
        <v>31.68</v>
      </c>
      <c r="H61" s="14"/>
      <c r="I61" s="13">
        <f t="shared" si="9"/>
        <v>36.060661000000003</v>
      </c>
      <c r="J61" s="14">
        <f t="shared" si="10"/>
        <v>39.406751999999997</v>
      </c>
      <c r="K61" s="14"/>
    </row>
    <row r="62" spans="1:11" ht="15.75" customHeight="1" x14ac:dyDescent="0.25">
      <c r="A62" s="9"/>
      <c r="B62" s="9"/>
      <c r="C62" s="10"/>
      <c r="D62" s="16"/>
      <c r="E62" s="17"/>
      <c r="F62" s="14">
        <f>E61*F61</f>
        <v>394.84379999999999</v>
      </c>
      <c r="G62" s="18">
        <f>E61*G61</f>
        <v>431.48159999999996</v>
      </c>
      <c r="H62" s="14">
        <f>SUM(F62,G62)</f>
        <v>826.32539999999995</v>
      </c>
      <c r="I62" s="13">
        <f t="shared" si="9"/>
        <v>491.14620281999998</v>
      </c>
      <c r="J62" s="14">
        <f t="shared" si="10"/>
        <v>536.71996223999997</v>
      </c>
      <c r="K62" s="14">
        <f>J62+I62</f>
        <v>1027.86616506</v>
      </c>
    </row>
    <row r="63" spans="1:11" ht="45" customHeight="1" x14ac:dyDescent="0.25">
      <c r="A63" s="9" t="s">
        <v>33</v>
      </c>
      <c r="B63" s="9" t="s">
        <v>89</v>
      </c>
      <c r="C63" s="10" t="s">
        <v>90</v>
      </c>
      <c r="D63" s="11" t="s">
        <v>24</v>
      </c>
      <c r="E63" s="12">
        <f>676.7*0.1</f>
        <v>67.67</v>
      </c>
      <c r="F63" s="14">
        <f>0.01+8.42</f>
        <v>8.43</v>
      </c>
      <c r="G63" s="18">
        <v>10.34</v>
      </c>
      <c r="H63" s="14"/>
      <c r="I63" s="13">
        <f t="shared" si="9"/>
        <v>10.486077</v>
      </c>
      <c r="J63" s="14">
        <f t="shared" si="10"/>
        <v>12.861926</v>
      </c>
      <c r="K63" s="14"/>
    </row>
    <row r="64" spans="1:11" ht="15.75" customHeight="1" x14ac:dyDescent="0.25">
      <c r="A64" s="9"/>
      <c r="B64" s="9"/>
      <c r="C64" s="10"/>
      <c r="D64" s="16"/>
      <c r="E64" s="17"/>
      <c r="F64" s="14">
        <f>E63*F63</f>
        <v>570.45809999999994</v>
      </c>
      <c r="G64" s="18">
        <f>E63*G63</f>
        <v>699.70780000000002</v>
      </c>
      <c r="H64" s="14">
        <f>SUM(F64,G64)</f>
        <v>1270.1659</v>
      </c>
      <c r="I64" s="13">
        <f t="shared" si="9"/>
        <v>709.59283058999995</v>
      </c>
      <c r="J64" s="14">
        <f t="shared" si="10"/>
        <v>870.36653242</v>
      </c>
      <c r="K64" s="14">
        <f>J64+I64</f>
        <v>1579.9593630099998</v>
      </c>
    </row>
    <row r="65" spans="1:11" ht="15.75" customHeight="1" x14ac:dyDescent="0.25">
      <c r="A65" s="9" t="s">
        <v>34</v>
      </c>
      <c r="B65" s="9" t="s">
        <v>91</v>
      </c>
      <c r="C65" s="10" t="s">
        <v>92</v>
      </c>
      <c r="D65" s="11" t="s">
        <v>24</v>
      </c>
      <c r="E65" s="17">
        <f>614.2*0.1</f>
        <v>61.420000000000009</v>
      </c>
      <c r="F65" s="14">
        <f>0.03+26.73+0.05</f>
        <v>26.810000000000002</v>
      </c>
      <c r="G65" s="18">
        <v>5.94</v>
      </c>
      <c r="H65" s="14"/>
      <c r="I65" s="13">
        <f t="shared" si="9"/>
        <v>33.348959000000001</v>
      </c>
      <c r="J65" s="14">
        <f t="shared" si="10"/>
        <v>7.3887660000000004</v>
      </c>
      <c r="K65" s="14"/>
    </row>
    <row r="66" spans="1:11" ht="15.75" customHeight="1" x14ac:dyDescent="0.25">
      <c r="A66" s="9"/>
      <c r="B66" s="9"/>
      <c r="C66" s="10"/>
      <c r="D66" s="11"/>
      <c r="E66" s="17"/>
      <c r="F66" s="14">
        <f>E65*F65</f>
        <v>1646.6702000000005</v>
      </c>
      <c r="G66" s="18">
        <f>E65*G65</f>
        <v>364.83480000000009</v>
      </c>
      <c r="H66" s="14">
        <f>SUM(F66,G66)</f>
        <v>2011.5050000000006</v>
      </c>
      <c r="I66" s="13">
        <f t="shared" si="9"/>
        <v>2048.2930617800007</v>
      </c>
      <c r="J66" s="14">
        <f t="shared" si="10"/>
        <v>453.81800772000008</v>
      </c>
      <c r="K66" s="14">
        <f>J66+I66</f>
        <v>2502.1110695000007</v>
      </c>
    </row>
    <row r="67" spans="1:11" ht="30" customHeight="1" x14ac:dyDescent="0.25">
      <c r="A67" s="9" t="s">
        <v>35</v>
      </c>
      <c r="B67" s="9" t="s">
        <v>94</v>
      </c>
      <c r="C67" s="27" t="s">
        <v>95</v>
      </c>
      <c r="D67" s="11" t="s">
        <v>9</v>
      </c>
      <c r="E67" s="12">
        <f>47.41</f>
        <v>47.41</v>
      </c>
      <c r="F67" s="14">
        <v>486.93</v>
      </c>
      <c r="G67" s="18">
        <v>129.51</v>
      </c>
      <c r="H67" s="14"/>
      <c r="I67" s="13">
        <f t="shared" si="9"/>
        <v>605.692227</v>
      </c>
      <c r="J67" s="14">
        <f t="shared" si="10"/>
        <v>161.097489</v>
      </c>
      <c r="K67" s="14"/>
    </row>
    <row r="68" spans="1:11" ht="15.75" customHeight="1" x14ac:dyDescent="0.25">
      <c r="A68" s="9"/>
      <c r="B68" s="9"/>
      <c r="C68" s="10"/>
      <c r="D68" s="16"/>
      <c r="E68" s="17"/>
      <c r="F68" s="14">
        <f>E67*F67</f>
        <v>23085.351299999998</v>
      </c>
      <c r="G68" s="18">
        <f>E67*G67</f>
        <v>6140.0690999999988</v>
      </c>
      <c r="H68" s="14">
        <f>SUM(F68,G68)</f>
        <v>29225.420399999995</v>
      </c>
      <c r="I68" s="13">
        <f t="shared" si="9"/>
        <v>28715.868482069996</v>
      </c>
      <c r="J68" s="14">
        <f t="shared" si="10"/>
        <v>7637.6319534899985</v>
      </c>
      <c r="K68" s="14">
        <f>J68+I68</f>
        <v>36353.500435559996</v>
      </c>
    </row>
    <row r="69" spans="1:11" ht="15.75" customHeight="1" x14ac:dyDescent="0.25">
      <c r="A69" s="15"/>
      <c r="B69" s="15"/>
      <c r="C69" s="10"/>
      <c r="D69" s="16"/>
      <c r="E69" s="17"/>
      <c r="F69" s="14"/>
      <c r="G69" s="18"/>
      <c r="H69" s="14"/>
      <c r="I69" s="14"/>
      <c r="J69" s="18"/>
      <c r="K69" s="14"/>
    </row>
    <row r="70" spans="1:11" ht="15.75" customHeight="1" x14ac:dyDescent="0.25">
      <c r="A70" s="15"/>
      <c r="B70" s="15"/>
      <c r="C70" s="21" t="s">
        <v>97</v>
      </c>
      <c r="D70" s="16"/>
      <c r="E70" s="17"/>
      <c r="F70" s="14">
        <f t="shared" ref="F70:J70" si="11">F68+F66+F64+F62+F60+F58</f>
        <v>35073.420169999998</v>
      </c>
      <c r="G70" s="14">
        <f t="shared" si="11"/>
        <v>11538.317079999999</v>
      </c>
      <c r="H70" s="14">
        <f>SUM(F70,G70)</f>
        <v>46611.737249999998</v>
      </c>
      <c r="I70" s="14">
        <f t="shared" si="11"/>
        <v>43627.827349462998</v>
      </c>
      <c r="J70" s="14">
        <f t="shared" si="11"/>
        <v>14352.512615811998</v>
      </c>
      <c r="K70" s="14">
        <f>SUM(I70,J70)</f>
        <v>57980.339965274994</v>
      </c>
    </row>
    <row r="71" spans="1:11" ht="15.75" customHeight="1" x14ac:dyDescent="0.25">
      <c r="A71" s="15"/>
      <c r="B71" s="15"/>
      <c r="C71" s="10"/>
      <c r="D71" s="16"/>
      <c r="E71" s="17"/>
      <c r="F71" s="14"/>
      <c r="G71" s="18"/>
      <c r="H71" s="14"/>
      <c r="I71" s="14"/>
      <c r="J71" s="18"/>
      <c r="K71" s="14"/>
    </row>
    <row r="72" spans="1:11" ht="15.75" customHeight="1" x14ac:dyDescent="0.25">
      <c r="A72" s="3" t="s">
        <v>68</v>
      </c>
      <c r="B72" s="3"/>
      <c r="C72" s="4" t="s">
        <v>98</v>
      </c>
      <c r="D72" s="24"/>
      <c r="E72" s="22"/>
      <c r="F72" s="8"/>
      <c r="G72" s="23"/>
      <c r="H72" s="8"/>
      <c r="I72" s="8"/>
      <c r="J72" s="23"/>
      <c r="K72" s="8"/>
    </row>
    <row r="73" spans="1:11" ht="30" customHeight="1" x14ac:dyDescent="0.25">
      <c r="A73" s="9" t="s">
        <v>70</v>
      </c>
      <c r="B73" s="9" t="s">
        <v>99</v>
      </c>
      <c r="C73" s="10" t="s">
        <v>100</v>
      </c>
      <c r="D73" s="11" t="s">
        <v>47</v>
      </c>
      <c r="E73" s="17">
        <v>18</v>
      </c>
      <c r="F73" s="14">
        <v>579.11</v>
      </c>
      <c r="G73" s="18">
        <v>174.77</v>
      </c>
      <c r="H73" s="14"/>
      <c r="I73" s="13">
        <f t="shared" ref="I73:I102" si="12">F73*1.2439</f>
        <v>720.35492899999997</v>
      </c>
      <c r="J73" s="14">
        <f t="shared" ref="J73:J102" si="13">G73*1.2439</f>
        <v>217.39640300000002</v>
      </c>
      <c r="K73" s="14"/>
    </row>
    <row r="74" spans="1:11" ht="15.75" customHeight="1" x14ac:dyDescent="0.25">
      <c r="A74" s="9"/>
      <c r="B74" s="9"/>
      <c r="C74" s="10"/>
      <c r="D74" s="16"/>
      <c r="E74" s="17"/>
      <c r="F74" s="14">
        <f>E73*F73</f>
        <v>10423.98</v>
      </c>
      <c r="G74" s="18">
        <f>E73*G73</f>
        <v>3145.86</v>
      </c>
      <c r="H74" s="14">
        <f>SUM(F74,G74)</f>
        <v>13569.84</v>
      </c>
      <c r="I74" s="13">
        <f t="shared" si="12"/>
        <v>12966.388722</v>
      </c>
      <c r="J74" s="14">
        <f t="shared" si="13"/>
        <v>3913.1352540000003</v>
      </c>
      <c r="K74" s="14">
        <f>J74+I74</f>
        <v>16879.523976</v>
      </c>
    </row>
    <row r="75" spans="1:11" ht="15.75" customHeight="1" x14ac:dyDescent="0.25">
      <c r="A75" s="9" t="s">
        <v>73</v>
      </c>
      <c r="B75" s="9" t="s">
        <v>99</v>
      </c>
      <c r="C75" s="10" t="s">
        <v>100</v>
      </c>
      <c r="D75" s="11" t="s">
        <v>47</v>
      </c>
      <c r="E75" s="17">
        <v>7</v>
      </c>
      <c r="F75" s="14">
        <v>579.11</v>
      </c>
      <c r="G75" s="18">
        <v>174.77</v>
      </c>
      <c r="H75" s="14"/>
      <c r="I75" s="13">
        <f t="shared" si="12"/>
        <v>720.35492899999997</v>
      </c>
      <c r="J75" s="14">
        <f t="shared" si="13"/>
        <v>217.39640300000002</v>
      </c>
      <c r="K75" s="14"/>
    </row>
    <row r="76" spans="1:11" ht="15.75" customHeight="1" x14ac:dyDescent="0.25">
      <c r="A76" s="9"/>
      <c r="B76" s="9"/>
      <c r="C76" s="10"/>
      <c r="D76" s="16"/>
      <c r="E76" s="17"/>
      <c r="F76" s="14">
        <f>E75*F75</f>
        <v>4053.77</v>
      </c>
      <c r="G76" s="18">
        <f>E75*G75</f>
        <v>1223.3900000000001</v>
      </c>
      <c r="H76" s="14">
        <f>SUM(F76,G76)</f>
        <v>5277.16</v>
      </c>
      <c r="I76" s="13">
        <f t="shared" si="12"/>
        <v>5042.4845029999997</v>
      </c>
      <c r="J76" s="14">
        <f t="shared" si="13"/>
        <v>1521.7748210000002</v>
      </c>
      <c r="K76" s="14">
        <f>J76+I76</f>
        <v>6564.2593239999997</v>
      </c>
    </row>
    <row r="77" spans="1:11" ht="15.75" customHeight="1" x14ac:dyDescent="0.25">
      <c r="A77" s="9" t="s">
        <v>74</v>
      </c>
      <c r="B77" s="9" t="s">
        <v>99</v>
      </c>
      <c r="C77" s="10" t="s">
        <v>100</v>
      </c>
      <c r="D77" s="11" t="s">
        <v>47</v>
      </c>
      <c r="E77" s="17">
        <v>8</v>
      </c>
      <c r="F77" s="14">
        <v>579.11</v>
      </c>
      <c r="G77" s="18">
        <v>174.77</v>
      </c>
      <c r="H77" s="14"/>
      <c r="I77" s="13">
        <f t="shared" si="12"/>
        <v>720.35492899999997</v>
      </c>
      <c r="J77" s="14">
        <f t="shared" si="13"/>
        <v>217.39640300000002</v>
      </c>
      <c r="K77" s="14"/>
    </row>
    <row r="78" spans="1:11" ht="15.75" customHeight="1" x14ac:dyDescent="0.25">
      <c r="A78" s="9"/>
      <c r="B78" s="9"/>
      <c r="C78" s="10"/>
      <c r="D78" s="16"/>
      <c r="E78" s="17"/>
      <c r="F78" s="14">
        <f>E77*F77</f>
        <v>4632.88</v>
      </c>
      <c r="G78" s="18">
        <f>E77*G77</f>
        <v>1398.16</v>
      </c>
      <c r="H78" s="14">
        <f>SUM(F78,G78)</f>
        <v>6031.04</v>
      </c>
      <c r="I78" s="13">
        <f t="shared" si="12"/>
        <v>5762.8394319999998</v>
      </c>
      <c r="J78" s="14">
        <f t="shared" si="13"/>
        <v>1739.1712240000002</v>
      </c>
      <c r="K78" s="14">
        <f>J78+I78</f>
        <v>7502.0106560000004</v>
      </c>
    </row>
    <row r="79" spans="1:11" ht="30" customHeight="1" x14ac:dyDescent="0.25">
      <c r="A79" s="9" t="s">
        <v>77</v>
      </c>
      <c r="B79" s="9" t="s">
        <v>48</v>
      </c>
      <c r="C79" s="28" t="s">
        <v>104</v>
      </c>
      <c r="D79" s="29" t="s">
        <v>47</v>
      </c>
      <c r="E79" s="30">
        <v>16</v>
      </c>
      <c r="F79" s="31">
        <f>674.5*0.8</f>
        <v>539.6</v>
      </c>
      <c r="G79" s="31">
        <f>674.5*0.2</f>
        <v>134.9</v>
      </c>
      <c r="H79" s="31"/>
      <c r="I79" s="13">
        <f t="shared" si="12"/>
        <v>671.20844</v>
      </c>
      <c r="J79" s="14">
        <f t="shared" si="13"/>
        <v>167.80211</v>
      </c>
      <c r="K79" s="14"/>
    </row>
    <row r="80" spans="1:11" ht="15.75" customHeight="1" x14ac:dyDescent="0.25">
      <c r="A80" s="9"/>
      <c r="B80" s="9"/>
      <c r="C80" s="10"/>
      <c r="D80" s="16"/>
      <c r="E80" s="17"/>
      <c r="F80" s="14">
        <f>E79*F79</f>
        <v>8633.6</v>
      </c>
      <c r="G80" s="18">
        <f>E79*G79</f>
        <v>2158.4</v>
      </c>
      <c r="H80" s="14">
        <f>SUM(F80,G80)</f>
        <v>10792</v>
      </c>
      <c r="I80" s="13">
        <f t="shared" si="12"/>
        <v>10739.33504</v>
      </c>
      <c r="J80" s="14">
        <f t="shared" si="13"/>
        <v>2684.83376</v>
      </c>
      <c r="K80" s="14">
        <f>J80+I80</f>
        <v>13424.168799999999</v>
      </c>
    </row>
    <row r="81" spans="1:11" ht="15.75" customHeight="1" x14ac:dyDescent="0.25">
      <c r="A81" s="9" t="s">
        <v>78</v>
      </c>
      <c r="B81" s="9" t="s">
        <v>48</v>
      </c>
      <c r="C81" s="28" t="s">
        <v>104</v>
      </c>
      <c r="D81" s="29" t="s">
        <v>47</v>
      </c>
      <c r="E81" s="30">
        <v>6</v>
      </c>
      <c r="F81" s="31">
        <f>787.5*0.8</f>
        <v>630</v>
      </c>
      <c r="G81" s="31">
        <f>787.5*0.2</f>
        <v>157.5</v>
      </c>
      <c r="H81" s="31"/>
      <c r="I81" s="13">
        <f t="shared" si="12"/>
        <v>783.65700000000004</v>
      </c>
      <c r="J81" s="14">
        <f t="shared" si="13"/>
        <v>195.91425000000001</v>
      </c>
      <c r="K81" s="14"/>
    </row>
    <row r="82" spans="1:11" ht="15.75" customHeight="1" x14ac:dyDescent="0.25">
      <c r="A82" s="9"/>
      <c r="B82" s="9"/>
      <c r="C82" s="10"/>
      <c r="D82" s="16"/>
      <c r="E82" s="17"/>
      <c r="F82" s="14">
        <f>E81*F81</f>
        <v>3780</v>
      </c>
      <c r="G82" s="18">
        <f>E81*G81</f>
        <v>945</v>
      </c>
      <c r="H82" s="14">
        <f>SUM(F82,G82)</f>
        <v>4725</v>
      </c>
      <c r="I82" s="13">
        <f t="shared" si="12"/>
        <v>4701.942</v>
      </c>
      <c r="J82" s="14">
        <f t="shared" si="13"/>
        <v>1175.4855</v>
      </c>
      <c r="K82" s="14">
        <f>J82+I82</f>
        <v>5877.4274999999998</v>
      </c>
    </row>
    <row r="83" spans="1:11" ht="15.75" customHeight="1" x14ac:dyDescent="0.25">
      <c r="A83" s="9" t="s">
        <v>82</v>
      </c>
      <c r="B83" s="9" t="s">
        <v>48</v>
      </c>
      <c r="C83" s="32" t="s">
        <v>107</v>
      </c>
      <c r="D83" s="29" t="s">
        <v>24</v>
      </c>
      <c r="E83" s="30">
        <v>6.4</v>
      </c>
      <c r="F83" s="31">
        <f>210.07*0.7</f>
        <v>147.04899999999998</v>
      </c>
      <c r="G83" s="31">
        <f>210.07*0.3</f>
        <v>63.020999999999994</v>
      </c>
      <c r="H83" s="31"/>
      <c r="I83" s="13">
        <f t="shared" si="12"/>
        <v>182.91425109999997</v>
      </c>
      <c r="J83" s="14">
        <f t="shared" si="13"/>
        <v>78.391821899999997</v>
      </c>
      <c r="K83" s="14"/>
    </row>
    <row r="84" spans="1:11" ht="15.75" customHeight="1" x14ac:dyDescent="0.25">
      <c r="A84" s="9"/>
      <c r="B84" s="9"/>
      <c r="C84" s="10"/>
      <c r="D84" s="16"/>
      <c r="E84" s="17"/>
      <c r="F84" s="14">
        <f>E83*F83</f>
        <v>941.11359999999991</v>
      </c>
      <c r="G84" s="18">
        <f>E83*G83</f>
        <v>403.33439999999996</v>
      </c>
      <c r="H84" s="14">
        <f>SUM(F84,G84)</f>
        <v>1344.4479999999999</v>
      </c>
      <c r="I84" s="13">
        <f t="shared" si="12"/>
        <v>1170.6512070399999</v>
      </c>
      <c r="J84" s="14">
        <f t="shared" si="13"/>
        <v>501.70766015999993</v>
      </c>
      <c r="K84" s="14">
        <f>J84+I84</f>
        <v>1672.3588671999998</v>
      </c>
    </row>
    <row r="85" spans="1:11" ht="15.75" customHeight="1" x14ac:dyDescent="0.25">
      <c r="A85" s="9" t="s">
        <v>85</v>
      </c>
      <c r="B85" s="9" t="s">
        <v>108</v>
      </c>
      <c r="C85" s="10" t="s">
        <v>109</v>
      </c>
      <c r="D85" s="11" t="s">
        <v>47</v>
      </c>
      <c r="E85" s="17">
        <v>22</v>
      </c>
      <c r="F85" s="14">
        <v>15.13</v>
      </c>
      <c r="G85" s="18">
        <v>7.95</v>
      </c>
      <c r="H85" s="14"/>
      <c r="I85" s="13">
        <f t="shared" si="12"/>
        <v>18.820207</v>
      </c>
      <c r="J85" s="14">
        <f t="shared" si="13"/>
        <v>9.8890050000000009</v>
      </c>
      <c r="K85" s="14"/>
    </row>
    <row r="86" spans="1:11" ht="15.75" customHeight="1" x14ac:dyDescent="0.25">
      <c r="A86" s="9"/>
      <c r="B86" s="9"/>
      <c r="C86" s="10"/>
      <c r="D86" s="16"/>
      <c r="E86" s="17"/>
      <c r="F86" s="14">
        <f>E85*F85</f>
        <v>332.86</v>
      </c>
      <c r="G86" s="18">
        <f>E85*G85</f>
        <v>174.9</v>
      </c>
      <c r="H86" s="14">
        <f>SUM(F86,G86)</f>
        <v>507.76</v>
      </c>
      <c r="I86" s="13">
        <f t="shared" si="12"/>
        <v>414.04455400000001</v>
      </c>
      <c r="J86" s="14">
        <f t="shared" si="13"/>
        <v>217.55811</v>
      </c>
      <c r="K86" s="14">
        <f>J86+I86</f>
        <v>631.602664</v>
      </c>
    </row>
    <row r="87" spans="1:11" ht="30" customHeight="1" x14ac:dyDescent="0.25">
      <c r="A87" s="9" t="s">
        <v>88</v>
      </c>
      <c r="B87" s="9" t="s">
        <v>110</v>
      </c>
      <c r="C87" s="10" t="s">
        <v>111</v>
      </c>
      <c r="D87" s="11" t="s">
        <v>9</v>
      </c>
      <c r="E87" s="17">
        <v>3.69</v>
      </c>
      <c r="F87" s="14">
        <v>401.14</v>
      </c>
      <c r="G87" s="18">
        <v>43.43</v>
      </c>
      <c r="H87" s="14"/>
      <c r="I87" s="13">
        <f t="shared" si="12"/>
        <v>498.97804600000001</v>
      </c>
      <c r="J87" s="14">
        <f t="shared" si="13"/>
        <v>54.022576999999998</v>
      </c>
      <c r="K87" s="14"/>
    </row>
    <row r="88" spans="1:11" ht="15.75" customHeight="1" x14ac:dyDescent="0.25">
      <c r="A88" s="9"/>
      <c r="B88" s="9"/>
      <c r="C88" s="10"/>
      <c r="D88" s="16"/>
      <c r="E88" s="17"/>
      <c r="F88" s="14">
        <f>E87*F87</f>
        <v>1480.2066</v>
      </c>
      <c r="G88" s="18">
        <f>E87*G87</f>
        <v>160.2567</v>
      </c>
      <c r="H88" s="14">
        <f>SUM(F88,G88)</f>
        <v>1640.4632999999999</v>
      </c>
      <c r="I88" s="13">
        <f t="shared" si="12"/>
        <v>1841.2289897400001</v>
      </c>
      <c r="J88" s="14">
        <f t="shared" si="13"/>
        <v>199.34330912999999</v>
      </c>
      <c r="K88" s="14">
        <f>J88+I88</f>
        <v>2040.5722988700002</v>
      </c>
    </row>
    <row r="89" spans="1:11" ht="30" customHeight="1" x14ac:dyDescent="0.25">
      <c r="A89" s="9" t="s">
        <v>93</v>
      </c>
      <c r="B89" s="9" t="s">
        <v>110</v>
      </c>
      <c r="C89" s="10" t="s">
        <v>114</v>
      </c>
      <c r="D89" s="11" t="s">
        <v>9</v>
      </c>
      <c r="E89" s="17">
        <v>3.51</v>
      </c>
      <c r="F89" s="14">
        <v>401.14</v>
      </c>
      <c r="G89" s="18">
        <v>43.43</v>
      </c>
      <c r="H89" s="14"/>
      <c r="I89" s="13">
        <f t="shared" si="12"/>
        <v>498.97804600000001</v>
      </c>
      <c r="J89" s="14">
        <f t="shared" si="13"/>
        <v>54.022576999999998</v>
      </c>
      <c r="K89" s="14"/>
    </row>
    <row r="90" spans="1:11" ht="15.75" customHeight="1" x14ac:dyDescent="0.25">
      <c r="A90" s="9"/>
      <c r="B90" s="9"/>
      <c r="C90" s="10"/>
      <c r="D90" s="16"/>
      <c r="E90" s="17"/>
      <c r="F90" s="14">
        <f>E89*F89</f>
        <v>1408.0013999999999</v>
      </c>
      <c r="G90" s="18">
        <f>E89*G89</f>
        <v>152.4393</v>
      </c>
      <c r="H90" s="14">
        <f>SUM(F90,G90)</f>
        <v>1560.4406999999999</v>
      </c>
      <c r="I90" s="13">
        <f t="shared" si="12"/>
        <v>1751.41294146</v>
      </c>
      <c r="J90" s="14">
        <f t="shared" si="13"/>
        <v>189.61924526999999</v>
      </c>
      <c r="K90" s="14">
        <f>J90+I90</f>
        <v>1941.0321867299999</v>
      </c>
    </row>
    <row r="91" spans="1:11" ht="15.75" customHeight="1" x14ac:dyDescent="0.25">
      <c r="A91" s="9" t="s">
        <v>96</v>
      </c>
      <c r="B91" s="9" t="s">
        <v>110</v>
      </c>
      <c r="C91" s="10" t="s">
        <v>115</v>
      </c>
      <c r="D91" s="11" t="s">
        <v>9</v>
      </c>
      <c r="E91" s="17">
        <v>3.9</v>
      </c>
      <c r="F91" s="14">
        <v>401.14</v>
      </c>
      <c r="G91" s="18">
        <v>43.43</v>
      </c>
      <c r="H91" s="14"/>
      <c r="I91" s="13">
        <f t="shared" si="12"/>
        <v>498.97804600000001</v>
      </c>
      <c r="J91" s="14">
        <f t="shared" si="13"/>
        <v>54.022576999999998</v>
      </c>
      <c r="K91" s="14"/>
    </row>
    <row r="92" spans="1:11" ht="15.75" customHeight="1" x14ac:dyDescent="0.25">
      <c r="A92" s="9"/>
      <c r="B92" s="9"/>
      <c r="C92" s="10"/>
      <c r="D92" s="16"/>
      <c r="E92" s="17"/>
      <c r="F92" s="14">
        <f>E91*F91</f>
        <v>1564.4459999999999</v>
      </c>
      <c r="G92" s="18">
        <f>E91*G91</f>
        <v>169.37699999999998</v>
      </c>
      <c r="H92" s="14">
        <f>SUM(F92,G92)</f>
        <v>1733.8229999999999</v>
      </c>
      <c r="I92" s="13">
        <f t="shared" si="12"/>
        <v>1946.0143793999998</v>
      </c>
      <c r="J92" s="14">
        <f t="shared" si="13"/>
        <v>210.68805029999999</v>
      </c>
      <c r="K92" s="14">
        <f>J92+I92</f>
        <v>2156.7024296999998</v>
      </c>
    </row>
    <row r="93" spans="1:11" ht="15.75" customHeight="1" x14ac:dyDescent="0.25">
      <c r="A93" s="9" t="s">
        <v>101</v>
      </c>
      <c r="B93" s="9" t="s">
        <v>110</v>
      </c>
      <c r="C93" s="10" t="s">
        <v>116</v>
      </c>
      <c r="D93" s="11" t="s">
        <v>9</v>
      </c>
      <c r="E93" s="17">
        <v>2.16</v>
      </c>
      <c r="F93" s="14">
        <v>401.14</v>
      </c>
      <c r="G93" s="18">
        <v>43.43</v>
      </c>
      <c r="H93" s="14"/>
      <c r="I93" s="13">
        <f t="shared" si="12"/>
        <v>498.97804600000001</v>
      </c>
      <c r="J93" s="14">
        <f t="shared" si="13"/>
        <v>54.022576999999998</v>
      </c>
      <c r="K93" s="14"/>
    </row>
    <row r="94" spans="1:11" ht="15.75" customHeight="1" x14ac:dyDescent="0.25">
      <c r="A94" s="9"/>
      <c r="B94" s="9"/>
      <c r="C94" s="10"/>
      <c r="D94" s="16"/>
      <c r="E94" s="17"/>
      <c r="F94" s="14">
        <f>E93*F93</f>
        <v>866.4624</v>
      </c>
      <c r="G94" s="18">
        <f>E93*G93</f>
        <v>93.808800000000005</v>
      </c>
      <c r="H94" s="14">
        <f>SUM(F94,G94)</f>
        <v>960.27120000000002</v>
      </c>
      <c r="I94" s="13">
        <f t="shared" si="12"/>
        <v>1077.79257936</v>
      </c>
      <c r="J94" s="14">
        <f t="shared" si="13"/>
        <v>116.68876632000001</v>
      </c>
      <c r="K94" s="14">
        <f>J94+I94</f>
        <v>1194.48134568</v>
      </c>
    </row>
    <row r="95" spans="1:11" ht="15.75" customHeight="1" x14ac:dyDescent="0.25">
      <c r="A95" s="9" t="s">
        <v>102</v>
      </c>
      <c r="B95" s="9" t="s">
        <v>110</v>
      </c>
      <c r="C95" s="10" t="s">
        <v>117</v>
      </c>
      <c r="D95" s="11" t="s">
        <v>9</v>
      </c>
      <c r="E95" s="17">
        <v>5.4</v>
      </c>
      <c r="F95" s="14">
        <v>401.14</v>
      </c>
      <c r="G95" s="18">
        <v>43.43</v>
      </c>
      <c r="H95" s="14"/>
      <c r="I95" s="13">
        <f t="shared" si="12"/>
        <v>498.97804600000001</v>
      </c>
      <c r="J95" s="14">
        <f t="shared" si="13"/>
        <v>54.022576999999998</v>
      </c>
      <c r="K95" s="14"/>
    </row>
    <row r="96" spans="1:11" ht="15.75" customHeight="1" x14ac:dyDescent="0.25">
      <c r="A96" s="9"/>
      <c r="B96" s="9"/>
      <c r="C96" s="10"/>
      <c r="D96" s="16"/>
      <c r="E96" s="17"/>
      <c r="F96" s="14">
        <f>E95*F95</f>
        <v>2166.1559999999999</v>
      </c>
      <c r="G96" s="18">
        <f>E95*G95</f>
        <v>234.52200000000002</v>
      </c>
      <c r="H96" s="14">
        <f>SUM(F96,G96)</f>
        <v>2400.6779999999999</v>
      </c>
      <c r="I96" s="13">
        <f t="shared" si="12"/>
        <v>2694.4814483999999</v>
      </c>
      <c r="J96" s="14">
        <f t="shared" si="13"/>
        <v>291.72191580000003</v>
      </c>
      <c r="K96" s="14">
        <f>J96+I96</f>
        <v>2986.2033641999997</v>
      </c>
    </row>
    <row r="97" spans="1:11" ht="15.75" customHeight="1" x14ac:dyDescent="0.25">
      <c r="A97" s="9" t="s">
        <v>103</v>
      </c>
      <c r="B97" s="33" t="s">
        <v>48</v>
      </c>
      <c r="C97" s="28" t="s">
        <v>118</v>
      </c>
      <c r="D97" s="29" t="s">
        <v>9</v>
      </c>
      <c r="E97" s="30">
        <v>129.1</v>
      </c>
      <c r="F97" s="31">
        <f>245.74*0.8</f>
        <v>196.59200000000001</v>
      </c>
      <c r="G97" s="31">
        <f>245.74*0.2</f>
        <v>49.148000000000003</v>
      </c>
      <c r="H97" s="31"/>
      <c r="I97" s="13">
        <f t="shared" si="12"/>
        <v>244.54078880000003</v>
      </c>
      <c r="J97" s="14">
        <f t="shared" si="13"/>
        <v>61.135197200000007</v>
      </c>
      <c r="K97" s="14"/>
    </row>
    <row r="98" spans="1:11" ht="15.75" customHeight="1" x14ac:dyDescent="0.25">
      <c r="A98" s="9"/>
      <c r="B98" s="9"/>
      <c r="C98" s="10"/>
      <c r="D98" s="16"/>
      <c r="E98" s="17"/>
      <c r="F98" s="14">
        <f>E97*F97</f>
        <v>25380.0272</v>
      </c>
      <c r="G98" s="18">
        <f>E97*G97</f>
        <v>6345.0068000000001</v>
      </c>
      <c r="H98" s="14">
        <f>SUM(F98,G98)</f>
        <v>31725.034</v>
      </c>
      <c r="I98" s="13">
        <f t="shared" si="12"/>
        <v>31570.215834080002</v>
      </c>
      <c r="J98" s="14">
        <f t="shared" si="13"/>
        <v>7892.5539585200004</v>
      </c>
      <c r="K98" s="14">
        <f>J98+I98</f>
        <v>39462.769792600004</v>
      </c>
    </row>
    <row r="99" spans="1:11" ht="15.75" customHeight="1" x14ac:dyDescent="0.25">
      <c r="A99" s="9" t="s">
        <v>105</v>
      </c>
      <c r="B99" s="9" t="s">
        <v>119</v>
      </c>
      <c r="C99" s="10" t="s">
        <v>120</v>
      </c>
      <c r="D99" s="11" t="s">
        <v>9</v>
      </c>
      <c r="E99" s="17">
        <v>21.13</v>
      </c>
      <c r="F99" s="14">
        <v>132.08000000000001</v>
      </c>
      <c r="G99" s="18">
        <v>14.05</v>
      </c>
      <c r="H99" s="14"/>
      <c r="I99" s="13">
        <f t="shared" si="12"/>
        <v>164.29431200000002</v>
      </c>
      <c r="J99" s="14">
        <f t="shared" si="13"/>
        <v>17.476794999999999</v>
      </c>
      <c r="K99" s="14"/>
    </row>
    <row r="100" spans="1:11" ht="15.75" customHeight="1" x14ac:dyDescent="0.25">
      <c r="A100" s="9"/>
      <c r="B100" s="9"/>
      <c r="C100" s="10"/>
      <c r="D100" s="16"/>
      <c r="E100" s="17"/>
      <c r="F100" s="14">
        <f>E99*F99</f>
        <v>2790.8504000000003</v>
      </c>
      <c r="G100" s="18">
        <f>E99*G99</f>
        <v>296.87650000000002</v>
      </c>
      <c r="H100" s="14">
        <f>SUM(F100,G100)</f>
        <v>3087.7269000000001</v>
      </c>
      <c r="I100" s="13">
        <f t="shared" si="12"/>
        <v>3471.5388125600002</v>
      </c>
      <c r="J100" s="14">
        <f t="shared" si="13"/>
        <v>369.28467835000004</v>
      </c>
      <c r="K100" s="14">
        <f>J100+I100</f>
        <v>3840.8234909100001</v>
      </c>
    </row>
    <row r="101" spans="1:11" ht="15.75" customHeight="1" x14ac:dyDescent="0.25">
      <c r="A101" s="9" t="s">
        <v>106</v>
      </c>
      <c r="B101" s="9" t="s">
        <v>121</v>
      </c>
      <c r="C101" s="10" t="s">
        <v>122</v>
      </c>
      <c r="D101" s="11" t="s">
        <v>9</v>
      </c>
      <c r="E101" s="17">
        <v>8</v>
      </c>
      <c r="F101" s="14">
        <v>323.56</v>
      </c>
      <c r="G101" s="18">
        <v>35.81</v>
      </c>
      <c r="H101" s="14"/>
      <c r="I101" s="13">
        <f t="shared" si="12"/>
        <v>402.47628400000002</v>
      </c>
      <c r="J101" s="14">
        <f t="shared" si="13"/>
        <v>44.544059000000004</v>
      </c>
      <c r="K101" s="14"/>
    </row>
    <row r="102" spans="1:11" ht="15.75" customHeight="1" x14ac:dyDescent="0.25">
      <c r="A102" s="9"/>
      <c r="B102" s="9"/>
      <c r="C102" s="10"/>
      <c r="D102" s="16"/>
      <c r="E102" s="17"/>
      <c r="F102" s="14">
        <f>E101*F101</f>
        <v>2588.48</v>
      </c>
      <c r="G102" s="18">
        <f>E101*G101</f>
        <v>286.48</v>
      </c>
      <c r="H102" s="14">
        <f>SUM(F102,G102)</f>
        <v>2874.96</v>
      </c>
      <c r="I102" s="13">
        <f t="shared" si="12"/>
        <v>3219.8102720000002</v>
      </c>
      <c r="J102" s="14">
        <f t="shared" si="13"/>
        <v>356.35247200000003</v>
      </c>
      <c r="K102" s="14">
        <f>J102+I102</f>
        <v>3576.1627440000002</v>
      </c>
    </row>
    <row r="103" spans="1:11" ht="15.75" customHeight="1" x14ac:dyDescent="0.25">
      <c r="A103" s="9"/>
      <c r="B103" s="9"/>
      <c r="C103" s="10"/>
      <c r="D103" s="16"/>
      <c r="E103" s="17"/>
      <c r="F103" s="14"/>
      <c r="G103" s="18"/>
      <c r="H103" s="14"/>
      <c r="I103" s="14"/>
      <c r="J103" s="18"/>
      <c r="K103" s="14"/>
    </row>
    <row r="104" spans="1:11" ht="15.75" customHeight="1" x14ac:dyDescent="0.25">
      <c r="A104" s="9"/>
      <c r="B104" s="9"/>
      <c r="C104" s="21" t="s">
        <v>123</v>
      </c>
      <c r="D104" s="16"/>
      <c r="E104" s="17"/>
      <c r="F104" s="14">
        <f t="shared" ref="F104:J104" si="14">F102+F100+F98+F96+F94+F92+F90+F88+F86+F84+F82+F80+F78+F76+F74</f>
        <v>71042.833599999998</v>
      </c>
      <c r="G104" s="14">
        <f t="shared" si="14"/>
        <v>17187.8115</v>
      </c>
      <c r="H104" s="14">
        <f>SUM(F104,G104)</f>
        <v>88230.645099999994</v>
      </c>
      <c r="I104" s="14">
        <f t="shared" si="14"/>
        <v>88370.180715040013</v>
      </c>
      <c r="J104" s="14">
        <f t="shared" si="14"/>
        <v>21379.918724849998</v>
      </c>
      <c r="K104" s="14">
        <f>SUM(I104,J104)</f>
        <v>109750.09943989001</v>
      </c>
    </row>
    <row r="105" spans="1:11" ht="15.75" customHeight="1" x14ac:dyDescent="0.25">
      <c r="A105" s="9"/>
      <c r="B105" s="9"/>
      <c r="C105" s="10"/>
      <c r="D105" s="16"/>
      <c r="E105" s="17"/>
      <c r="F105" s="14"/>
      <c r="G105" s="18"/>
      <c r="H105" s="14"/>
      <c r="I105" s="14"/>
      <c r="J105" s="18"/>
      <c r="K105" s="14"/>
    </row>
    <row r="106" spans="1:11" ht="15.75" customHeight="1" x14ac:dyDescent="0.25">
      <c r="A106" s="3" t="s">
        <v>112</v>
      </c>
      <c r="B106" s="3"/>
      <c r="C106" s="34" t="s">
        <v>125</v>
      </c>
      <c r="D106" s="24"/>
      <c r="E106" s="22"/>
      <c r="F106" s="8"/>
      <c r="G106" s="23"/>
      <c r="H106" s="8"/>
      <c r="I106" s="8"/>
      <c r="J106" s="23"/>
      <c r="K106" s="8"/>
    </row>
    <row r="107" spans="1:11" ht="15.75" customHeight="1" x14ac:dyDescent="0.25">
      <c r="A107" s="19" t="s">
        <v>113</v>
      </c>
      <c r="B107" s="19" t="s">
        <v>127</v>
      </c>
      <c r="C107" s="10" t="s">
        <v>128</v>
      </c>
      <c r="D107" s="11" t="s">
        <v>9</v>
      </c>
      <c r="E107" s="17">
        <f>911.62*0.8</f>
        <v>729.29600000000005</v>
      </c>
      <c r="F107" s="14">
        <v>5.48</v>
      </c>
      <c r="G107" s="18">
        <v>5.0999999999999996</v>
      </c>
      <c r="H107" s="14"/>
      <c r="I107" s="13">
        <f>F107*1.2439</f>
        <v>6.8165720000000007</v>
      </c>
      <c r="J107" s="14">
        <f>G107*1.2439</f>
        <v>6.34389</v>
      </c>
      <c r="K107" s="14"/>
    </row>
    <row r="108" spans="1:11" ht="15.75" customHeight="1" x14ac:dyDescent="0.25">
      <c r="A108" s="19"/>
      <c r="B108" s="19"/>
      <c r="C108" s="10"/>
      <c r="D108" s="16"/>
      <c r="E108" s="17"/>
      <c r="F108" s="14">
        <f>E107*F107</f>
        <v>3996.5420800000006</v>
      </c>
      <c r="G108" s="18">
        <f>E107*G107</f>
        <v>3719.4096</v>
      </c>
      <c r="H108" s="14">
        <f>SUM(F108,G108)</f>
        <v>7715.9516800000001</v>
      </c>
      <c r="I108" s="13">
        <f>F108*1.2439</f>
        <v>4971.298693312001</v>
      </c>
      <c r="J108" s="14">
        <f>G108*1.2439</f>
        <v>4626.5736014399999</v>
      </c>
      <c r="K108" s="14">
        <f>J108+I108</f>
        <v>9597.872294752</v>
      </c>
    </row>
    <row r="109" spans="1:11" ht="15.75" customHeight="1" x14ac:dyDescent="0.25">
      <c r="A109" s="19"/>
      <c r="B109" s="19"/>
      <c r="C109" s="10"/>
      <c r="D109" s="16"/>
      <c r="E109" s="17"/>
      <c r="F109" s="14"/>
      <c r="G109" s="18"/>
      <c r="H109" s="14"/>
      <c r="I109" s="14"/>
      <c r="J109" s="18"/>
      <c r="K109" s="14"/>
    </row>
    <row r="110" spans="1:11" ht="15.75" customHeight="1" x14ac:dyDescent="0.25">
      <c r="A110" s="19"/>
      <c r="B110" s="19"/>
      <c r="C110" s="21" t="s">
        <v>129</v>
      </c>
      <c r="D110" s="16"/>
      <c r="E110" s="17"/>
      <c r="F110" s="14">
        <f t="shared" ref="F110:J110" si="15">F108</f>
        <v>3996.5420800000006</v>
      </c>
      <c r="G110" s="14">
        <f t="shared" si="15"/>
        <v>3719.4096</v>
      </c>
      <c r="H110" s="14">
        <f>SUM(F110,G110)</f>
        <v>7715.9516800000001</v>
      </c>
      <c r="I110" s="14">
        <f t="shared" si="15"/>
        <v>4971.298693312001</v>
      </c>
      <c r="J110" s="14">
        <f t="shared" si="15"/>
        <v>4626.5736014399999</v>
      </c>
      <c r="K110" s="14">
        <f>SUM(I110,J110)</f>
        <v>9597.872294752</v>
      </c>
    </row>
    <row r="111" spans="1:11" ht="15.75" customHeight="1" x14ac:dyDescent="0.25">
      <c r="A111" s="9"/>
      <c r="B111" s="9"/>
      <c r="C111" s="10"/>
      <c r="D111" s="16"/>
      <c r="E111" s="17"/>
      <c r="F111" s="14"/>
      <c r="G111" s="18"/>
      <c r="H111" s="14"/>
      <c r="I111" s="14"/>
      <c r="J111" s="18"/>
      <c r="K111" s="14"/>
    </row>
    <row r="112" spans="1:11" ht="15.75" customHeight="1" x14ac:dyDescent="0.25">
      <c r="A112" s="3" t="s">
        <v>124</v>
      </c>
      <c r="B112" s="3"/>
      <c r="C112" s="34" t="s">
        <v>131</v>
      </c>
      <c r="D112" s="24"/>
      <c r="E112" s="22"/>
      <c r="F112" s="8"/>
      <c r="G112" s="23"/>
      <c r="H112" s="8"/>
      <c r="I112" s="8"/>
      <c r="J112" s="23"/>
      <c r="K112" s="8"/>
    </row>
    <row r="113" spans="1:11" ht="15.75" customHeight="1" x14ac:dyDescent="0.25">
      <c r="A113" s="9" t="s">
        <v>126</v>
      </c>
      <c r="B113" s="9" t="s">
        <v>133</v>
      </c>
      <c r="C113" s="10" t="s">
        <v>134</v>
      </c>
      <c r="D113" s="16" t="s">
        <v>9</v>
      </c>
      <c r="E113" s="17">
        <f>1531.13*0.8</f>
        <v>1224.9040000000002</v>
      </c>
      <c r="F113" s="14">
        <v>3.6</v>
      </c>
      <c r="G113" s="18">
        <v>0.77</v>
      </c>
      <c r="H113" s="14"/>
      <c r="I113" s="13">
        <f t="shared" ref="I113:I124" si="16">F113*1.2439</f>
        <v>4.47804</v>
      </c>
      <c r="J113" s="14">
        <f t="shared" ref="J113:J124" si="17">G113*1.2439</f>
        <v>0.95780300000000007</v>
      </c>
      <c r="K113" s="14"/>
    </row>
    <row r="114" spans="1:11" ht="15.75" customHeight="1" x14ac:dyDescent="0.25">
      <c r="A114" s="9"/>
      <c r="B114" s="9"/>
      <c r="C114" s="10"/>
      <c r="D114" s="16"/>
      <c r="E114" s="17"/>
      <c r="F114" s="14">
        <f>E113*F113</f>
        <v>4409.6544000000013</v>
      </c>
      <c r="G114" s="18">
        <f>E113*G113</f>
        <v>943.17608000000018</v>
      </c>
      <c r="H114" s="14">
        <f>SUM(F114,G114)</f>
        <v>5352.8304800000014</v>
      </c>
      <c r="I114" s="13">
        <f t="shared" si="16"/>
        <v>5485.169108160002</v>
      </c>
      <c r="J114" s="14">
        <f t="shared" si="17"/>
        <v>1173.2167259120001</v>
      </c>
      <c r="K114" s="14">
        <f>J114+I114</f>
        <v>6658.3858340720017</v>
      </c>
    </row>
    <row r="115" spans="1:11" ht="30" customHeight="1" x14ac:dyDescent="0.25">
      <c r="A115" s="9" t="s">
        <v>375</v>
      </c>
      <c r="B115" s="9" t="s">
        <v>136</v>
      </c>
      <c r="C115" s="10" t="s">
        <v>137</v>
      </c>
      <c r="D115" s="16" t="s">
        <v>9</v>
      </c>
      <c r="E115" s="17">
        <f>4060.78*0.5</f>
        <v>2030.39</v>
      </c>
      <c r="F115" s="14">
        <f>0.02+15.13+0.04</f>
        <v>15.19</v>
      </c>
      <c r="G115" s="18">
        <v>12.53</v>
      </c>
      <c r="H115" s="14"/>
      <c r="I115" s="13">
        <f t="shared" si="16"/>
        <v>18.894841</v>
      </c>
      <c r="J115" s="14">
        <f t="shared" si="17"/>
        <v>15.586067</v>
      </c>
      <c r="K115" s="14"/>
    </row>
    <row r="116" spans="1:11" ht="15.75" customHeight="1" x14ac:dyDescent="0.25">
      <c r="A116" s="9"/>
      <c r="B116" s="9"/>
      <c r="C116" s="10"/>
      <c r="D116" s="16"/>
      <c r="E116" s="17"/>
      <c r="F116" s="14">
        <f>E115*F115</f>
        <v>30841.624100000001</v>
      </c>
      <c r="G116" s="18">
        <f>E115*G115</f>
        <v>25440.786700000001</v>
      </c>
      <c r="H116" s="14">
        <f>SUM(F116,G116)</f>
        <v>56282.410799999998</v>
      </c>
      <c r="I116" s="13">
        <f t="shared" si="16"/>
        <v>38363.896217990005</v>
      </c>
      <c r="J116" s="14">
        <f t="shared" si="17"/>
        <v>31645.79457613</v>
      </c>
      <c r="K116" s="14">
        <f>J116+I116</f>
        <v>70009.690794120004</v>
      </c>
    </row>
    <row r="117" spans="1:11" ht="30" customHeight="1" x14ac:dyDescent="0.25">
      <c r="A117" s="9" t="s">
        <v>378</v>
      </c>
      <c r="B117" s="9" t="s">
        <v>139</v>
      </c>
      <c r="C117" s="10" t="s">
        <v>140</v>
      </c>
      <c r="D117" s="16" t="s">
        <v>9</v>
      </c>
      <c r="E117" s="17">
        <f>1531.13*0.5</f>
        <v>765.56500000000005</v>
      </c>
      <c r="F117" s="14">
        <f>0.01+11.42+0.02</f>
        <v>11.45</v>
      </c>
      <c r="G117" s="18">
        <v>15.36</v>
      </c>
      <c r="H117" s="14"/>
      <c r="I117" s="13">
        <f t="shared" si="16"/>
        <v>14.242654999999999</v>
      </c>
      <c r="J117" s="14">
        <f t="shared" si="17"/>
        <v>19.106303999999998</v>
      </c>
      <c r="K117" s="14"/>
    </row>
    <row r="118" spans="1:11" ht="15.75" customHeight="1" x14ac:dyDescent="0.25">
      <c r="A118" s="9"/>
      <c r="B118" s="9"/>
      <c r="C118" s="10"/>
      <c r="D118" s="16"/>
      <c r="E118" s="17"/>
      <c r="F118" s="14">
        <f>E117*F117</f>
        <v>8765.7192500000001</v>
      </c>
      <c r="G118" s="18">
        <f>E117*G117</f>
        <v>11759.0784</v>
      </c>
      <c r="H118" s="14">
        <f>SUM(F118,G118)</f>
        <v>20524.79765</v>
      </c>
      <c r="I118" s="13">
        <f t="shared" si="16"/>
        <v>10903.678175075</v>
      </c>
      <c r="J118" s="14">
        <f t="shared" si="17"/>
        <v>14627.11762176</v>
      </c>
      <c r="K118" s="14">
        <f>J118+I118</f>
        <v>25530.795796835002</v>
      </c>
    </row>
    <row r="119" spans="1:11" ht="15.75" customHeight="1" x14ac:dyDescent="0.25">
      <c r="A119" s="9" t="s">
        <v>779</v>
      </c>
      <c r="B119" s="9" t="s">
        <v>48</v>
      </c>
      <c r="C119" s="28" t="s">
        <v>142</v>
      </c>
      <c r="D119" s="35" t="s">
        <v>19</v>
      </c>
      <c r="E119" s="30">
        <v>1.18</v>
      </c>
      <c r="F119" s="31">
        <f>131.37*0.8</f>
        <v>105.096</v>
      </c>
      <c r="G119" s="31">
        <f>131.37*0.2</f>
        <v>26.274000000000001</v>
      </c>
      <c r="H119" s="31"/>
      <c r="I119" s="13">
        <f t="shared" si="16"/>
        <v>130.72891440000001</v>
      </c>
      <c r="J119" s="14">
        <f t="shared" si="17"/>
        <v>32.682228600000002</v>
      </c>
      <c r="K119" s="14"/>
    </row>
    <row r="120" spans="1:11" ht="15.75" customHeight="1" x14ac:dyDescent="0.25">
      <c r="A120" s="9"/>
      <c r="B120" s="9"/>
      <c r="C120" s="10"/>
      <c r="D120" s="16"/>
      <c r="E120" s="17"/>
      <c r="F120" s="14">
        <f>E119*F119</f>
        <v>124.01327999999999</v>
      </c>
      <c r="G120" s="18">
        <f>E119*G119</f>
        <v>31.003319999999999</v>
      </c>
      <c r="H120" s="14">
        <f>SUM(F120,G120)</f>
        <v>155.01659999999998</v>
      </c>
      <c r="I120" s="13">
        <f t="shared" si="16"/>
        <v>154.260118992</v>
      </c>
      <c r="J120" s="14">
        <f t="shared" si="17"/>
        <v>38.565029748000001</v>
      </c>
      <c r="K120" s="14">
        <f>J120+I120</f>
        <v>192.82514874</v>
      </c>
    </row>
    <row r="121" spans="1:11" ht="30" customHeight="1" x14ac:dyDescent="0.25">
      <c r="A121" s="9" t="s">
        <v>780</v>
      </c>
      <c r="B121" s="9" t="s">
        <v>144</v>
      </c>
      <c r="C121" s="10" t="s">
        <v>145</v>
      </c>
      <c r="D121" s="16" t="s">
        <v>9</v>
      </c>
      <c r="E121" s="17">
        <f>990.77*0.6</f>
        <v>594.46199999999999</v>
      </c>
      <c r="F121" s="14">
        <v>23.42</v>
      </c>
      <c r="G121" s="18">
        <v>5.77</v>
      </c>
      <c r="H121" s="14"/>
      <c r="I121" s="13">
        <f t="shared" si="16"/>
        <v>29.132138000000001</v>
      </c>
      <c r="J121" s="14">
        <f t="shared" si="17"/>
        <v>7.1773029999999993</v>
      </c>
      <c r="K121" s="14"/>
    </row>
    <row r="122" spans="1:11" ht="15.75" customHeight="1" x14ac:dyDescent="0.25">
      <c r="A122" s="9"/>
      <c r="B122" s="9"/>
      <c r="C122" s="10"/>
      <c r="D122" s="16"/>
      <c r="E122" s="17"/>
      <c r="F122" s="14">
        <f>E121*F121</f>
        <v>13922.30004</v>
      </c>
      <c r="G122" s="18">
        <f>E121*G121</f>
        <v>3430.0457399999996</v>
      </c>
      <c r="H122" s="14">
        <f>SUM(F122,G122)</f>
        <v>17352.34578</v>
      </c>
      <c r="I122" s="13">
        <f t="shared" si="16"/>
        <v>17317.949019756001</v>
      </c>
      <c r="J122" s="14">
        <f t="shared" si="17"/>
        <v>4266.6338959859995</v>
      </c>
      <c r="K122" s="14">
        <f>J122+I122</f>
        <v>21584.582915742001</v>
      </c>
    </row>
    <row r="123" spans="1:11" ht="15.75" customHeight="1" x14ac:dyDescent="0.25">
      <c r="A123" s="9" t="s">
        <v>781</v>
      </c>
      <c r="B123" s="9" t="s">
        <v>147</v>
      </c>
      <c r="C123" s="10" t="s">
        <v>148</v>
      </c>
      <c r="D123" s="16" t="s">
        <v>9</v>
      </c>
      <c r="E123" s="17">
        <f>14.07*0.9</f>
        <v>12.663</v>
      </c>
      <c r="F123" s="14">
        <v>39.68</v>
      </c>
      <c r="G123" s="18">
        <v>15.99</v>
      </c>
      <c r="H123" s="14"/>
      <c r="I123" s="13">
        <f t="shared" si="16"/>
        <v>49.357951999999997</v>
      </c>
      <c r="J123" s="14">
        <f t="shared" si="17"/>
        <v>19.889961</v>
      </c>
      <c r="K123" s="14"/>
    </row>
    <row r="124" spans="1:11" ht="15.75" customHeight="1" x14ac:dyDescent="0.25">
      <c r="A124" s="9"/>
      <c r="B124" s="9"/>
      <c r="C124" s="10"/>
      <c r="D124" s="16"/>
      <c r="E124" s="17"/>
      <c r="F124" s="14">
        <f>E123*F123</f>
        <v>502.46784000000002</v>
      </c>
      <c r="G124" s="18">
        <f>E123*G123</f>
        <v>202.48137</v>
      </c>
      <c r="H124" s="14">
        <f>SUM(F124,G124)</f>
        <v>704.94920999999999</v>
      </c>
      <c r="I124" s="13">
        <f t="shared" si="16"/>
        <v>625.01974617600001</v>
      </c>
      <c r="J124" s="14">
        <f t="shared" si="17"/>
        <v>251.866576143</v>
      </c>
      <c r="K124" s="14">
        <f>J124+I124</f>
        <v>876.88632231899999</v>
      </c>
    </row>
    <row r="125" spans="1:11" ht="15.75" customHeight="1" x14ac:dyDescent="0.25">
      <c r="A125" s="9"/>
      <c r="B125" s="9"/>
      <c r="C125" s="10"/>
      <c r="D125" s="16"/>
      <c r="E125" s="17"/>
      <c r="F125" s="14"/>
      <c r="G125" s="18"/>
      <c r="H125" s="14"/>
      <c r="I125" s="14"/>
      <c r="J125" s="18"/>
      <c r="K125" s="14"/>
    </row>
    <row r="126" spans="1:11" ht="15.75" customHeight="1" x14ac:dyDescent="0.25">
      <c r="A126" s="9"/>
      <c r="B126" s="9"/>
      <c r="C126" s="21" t="s">
        <v>129</v>
      </c>
      <c r="D126" s="16"/>
      <c r="E126" s="17"/>
      <c r="F126" s="14">
        <f t="shared" ref="F126:J126" si="18">F114+F116+F118+F120+F122+F124</f>
        <v>58565.778910000001</v>
      </c>
      <c r="G126" s="14">
        <f t="shared" si="18"/>
        <v>41806.571610000006</v>
      </c>
      <c r="H126" s="14">
        <f>SUM(F126,G126)</f>
        <v>100372.35052000001</v>
      </c>
      <c r="I126" s="14">
        <f t="shared" si="18"/>
        <v>72849.972386149006</v>
      </c>
      <c r="J126" s="14">
        <f t="shared" si="18"/>
        <v>52003.194425679008</v>
      </c>
      <c r="K126" s="14">
        <f>SUM(I126,J126)</f>
        <v>124853.16681182801</v>
      </c>
    </row>
    <row r="127" spans="1:11" ht="15.75" customHeight="1" x14ac:dyDescent="0.25">
      <c r="A127" s="9"/>
      <c r="B127" s="9"/>
      <c r="C127" s="10"/>
      <c r="D127" s="16"/>
      <c r="E127" s="17"/>
      <c r="F127" s="14"/>
      <c r="G127" s="18"/>
      <c r="H127" s="14"/>
      <c r="I127" s="14"/>
      <c r="J127" s="18"/>
      <c r="K127" s="14"/>
    </row>
    <row r="128" spans="1:11" ht="15.75" customHeight="1" x14ac:dyDescent="0.25">
      <c r="A128" s="3" t="s">
        <v>130</v>
      </c>
      <c r="B128" s="3"/>
      <c r="C128" s="4" t="s">
        <v>150</v>
      </c>
      <c r="D128" s="24"/>
      <c r="E128" s="22"/>
      <c r="F128" s="8"/>
      <c r="G128" s="23"/>
      <c r="H128" s="8"/>
      <c r="I128" s="8"/>
      <c r="J128" s="23"/>
      <c r="K128" s="8"/>
    </row>
    <row r="129" spans="1:11" ht="30" customHeight="1" x14ac:dyDescent="0.25">
      <c r="A129" s="19" t="s">
        <v>395</v>
      </c>
      <c r="B129" s="19" t="s">
        <v>152</v>
      </c>
      <c r="C129" s="10" t="s">
        <v>153</v>
      </c>
      <c r="D129" s="16" t="s">
        <v>9</v>
      </c>
      <c r="E129" s="17">
        <f>2208.21*0.2</f>
        <v>441.64200000000005</v>
      </c>
      <c r="F129" s="14">
        <f>0.06+24.98+0.07</f>
        <v>25.11</v>
      </c>
      <c r="G129" s="18">
        <v>12.57</v>
      </c>
      <c r="H129" s="14"/>
      <c r="I129" s="13">
        <f t="shared" ref="I129:I154" si="19">F129*1.2439</f>
        <v>31.234328999999999</v>
      </c>
      <c r="J129" s="14">
        <f t="shared" ref="J129:J154" si="20">G129*1.2439</f>
        <v>15.635823</v>
      </c>
      <c r="K129" s="14"/>
    </row>
    <row r="130" spans="1:11" ht="15.75" customHeight="1" x14ac:dyDescent="0.25">
      <c r="A130" s="9"/>
      <c r="B130" s="9"/>
      <c r="C130" s="10"/>
      <c r="D130" s="16"/>
      <c r="E130" s="17"/>
      <c r="F130" s="14">
        <f>E129*F129</f>
        <v>11089.630620000002</v>
      </c>
      <c r="G130" s="18">
        <f>E129*G129</f>
        <v>5551.4399400000011</v>
      </c>
      <c r="H130" s="14">
        <f>SUM(F130,G130)</f>
        <v>16641.070560000004</v>
      </c>
      <c r="I130" s="13">
        <f t="shared" si="19"/>
        <v>13794.391528218002</v>
      </c>
      <c r="J130" s="14">
        <f t="shared" si="20"/>
        <v>6905.4361413660017</v>
      </c>
      <c r="K130" s="14">
        <f>J130+I130</f>
        <v>20699.827669584003</v>
      </c>
    </row>
    <row r="131" spans="1:11" ht="30" customHeight="1" x14ac:dyDescent="0.25">
      <c r="A131" s="9" t="s">
        <v>132</v>
      </c>
      <c r="B131" s="9" t="s">
        <v>155</v>
      </c>
      <c r="C131" s="10" t="s">
        <v>156</v>
      </c>
      <c r="D131" s="16" t="s">
        <v>9</v>
      </c>
      <c r="E131" s="17">
        <f>2208.21*0.2</f>
        <v>441.64200000000005</v>
      </c>
      <c r="F131" s="14">
        <f>0.02+23.07+0.04</f>
        <v>23.13</v>
      </c>
      <c r="G131" s="18">
        <v>11.83</v>
      </c>
      <c r="H131" s="14"/>
      <c r="I131" s="13">
        <f t="shared" si="19"/>
        <v>28.771407</v>
      </c>
      <c r="J131" s="14">
        <f t="shared" si="20"/>
        <v>14.715337</v>
      </c>
      <c r="K131" s="14"/>
    </row>
    <row r="132" spans="1:11" ht="15.75" customHeight="1" x14ac:dyDescent="0.25">
      <c r="A132" s="9"/>
      <c r="B132" s="9"/>
      <c r="C132" s="10"/>
      <c r="D132" s="16"/>
      <c r="E132" s="17"/>
      <c r="F132" s="14">
        <f>E131*F131</f>
        <v>10215.179460000001</v>
      </c>
      <c r="G132" s="18">
        <f>E131*G131</f>
        <v>5224.6248600000008</v>
      </c>
      <c r="H132" s="14">
        <f>SUM(F132,G132)</f>
        <v>15439.804320000003</v>
      </c>
      <c r="I132" s="13">
        <f t="shared" si="19"/>
        <v>12706.661730294001</v>
      </c>
      <c r="J132" s="14">
        <f t="shared" si="20"/>
        <v>6498.9108633540009</v>
      </c>
      <c r="K132" s="14">
        <f>J132+I132</f>
        <v>19205.572593648001</v>
      </c>
    </row>
    <row r="133" spans="1:11" ht="30" customHeight="1" x14ac:dyDescent="0.25">
      <c r="A133" s="9" t="s">
        <v>398</v>
      </c>
      <c r="B133" s="9" t="s">
        <v>48</v>
      </c>
      <c r="C133" s="28" t="s">
        <v>158</v>
      </c>
      <c r="D133" s="35" t="s">
        <v>9</v>
      </c>
      <c r="E133" s="30">
        <v>178.45</v>
      </c>
      <c r="F133" s="31">
        <f>48.29*0.8</f>
        <v>38.632000000000005</v>
      </c>
      <c r="G133" s="31">
        <f>48.29*0.2</f>
        <v>9.6580000000000013</v>
      </c>
      <c r="H133" s="31"/>
      <c r="I133" s="13">
        <f t="shared" si="19"/>
        <v>48.05434480000001</v>
      </c>
      <c r="J133" s="14">
        <f t="shared" si="20"/>
        <v>12.013586200000002</v>
      </c>
      <c r="K133" s="14"/>
    </row>
    <row r="134" spans="1:11" ht="15.75" customHeight="1" x14ac:dyDescent="0.25">
      <c r="A134" s="9"/>
      <c r="B134" s="9"/>
      <c r="C134" s="10"/>
      <c r="D134" s="16"/>
      <c r="E134" s="17"/>
      <c r="F134" s="14">
        <f>E133*F133</f>
        <v>6893.8804</v>
      </c>
      <c r="G134" s="18">
        <f>E133*G133</f>
        <v>1723.4701</v>
      </c>
      <c r="H134" s="14">
        <f>SUM(F134,G134)</f>
        <v>8617.3505000000005</v>
      </c>
      <c r="I134" s="13">
        <f t="shared" si="19"/>
        <v>8575.2978295600005</v>
      </c>
      <c r="J134" s="14">
        <f t="shared" si="20"/>
        <v>2143.8244573900001</v>
      </c>
      <c r="K134" s="14">
        <f>J134+I134</f>
        <v>10719.122286950002</v>
      </c>
    </row>
    <row r="135" spans="1:11" ht="15.75" customHeight="1" x14ac:dyDescent="0.25">
      <c r="A135" s="9" t="s">
        <v>135</v>
      </c>
      <c r="B135" s="9" t="s">
        <v>48</v>
      </c>
      <c r="C135" s="28" t="s">
        <v>160</v>
      </c>
      <c r="D135" s="35" t="s">
        <v>9</v>
      </c>
      <c r="E135" s="30">
        <v>993.79</v>
      </c>
      <c r="F135" s="31">
        <f>48.29*0.8</f>
        <v>38.632000000000005</v>
      </c>
      <c r="G135" s="31">
        <f>48.29*0.2</f>
        <v>9.6580000000000013</v>
      </c>
      <c r="H135" s="31"/>
      <c r="I135" s="13">
        <f t="shared" si="19"/>
        <v>48.05434480000001</v>
      </c>
      <c r="J135" s="14">
        <f t="shared" si="20"/>
        <v>12.013586200000002</v>
      </c>
      <c r="K135" s="14"/>
    </row>
    <row r="136" spans="1:11" ht="15.75" customHeight="1" x14ac:dyDescent="0.25">
      <c r="A136" s="9"/>
      <c r="B136" s="9"/>
      <c r="C136" s="10"/>
      <c r="D136" s="16"/>
      <c r="E136" s="17"/>
      <c r="F136" s="14">
        <f>E135*F135</f>
        <v>38392.095280000001</v>
      </c>
      <c r="G136" s="18">
        <f>E135*G135</f>
        <v>9598.0238200000003</v>
      </c>
      <c r="H136" s="14">
        <f>SUM(F136,G136)</f>
        <v>47990.119100000004</v>
      </c>
      <c r="I136" s="13">
        <f t="shared" si="19"/>
        <v>47755.927318792004</v>
      </c>
      <c r="J136" s="14">
        <f t="shared" si="20"/>
        <v>11938.981829698001</v>
      </c>
      <c r="K136" s="14">
        <f>J136+I136</f>
        <v>59694.909148490005</v>
      </c>
    </row>
    <row r="137" spans="1:11" ht="30" customHeight="1" x14ac:dyDescent="0.25">
      <c r="A137" s="9" t="s">
        <v>138</v>
      </c>
      <c r="B137" s="9" t="s">
        <v>48</v>
      </c>
      <c r="C137" s="28" t="s">
        <v>162</v>
      </c>
      <c r="D137" s="35" t="s">
        <v>9</v>
      </c>
      <c r="E137" s="30">
        <v>131.94</v>
      </c>
      <c r="F137" s="31">
        <f>50.11*0.8</f>
        <v>40.088000000000001</v>
      </c>
      <c r="G137" s="31">
        <f>50.11*0.2</f>
        <v>10.022</v>
      </c>
      <c r="H137" s="31"/>
      <c r="I137" s="13">
        <f t="shared" si="19"/>
        <v>49.865463200000001</v>
      </c>
      <c r="J137" s="14">
        <f t="shared" si="20"/>
        <v>12.4663658</v>
      </c>
      <c r="K137" s="14"/>
    </row>
    <row r="138" spans="1:11" ht="15.75" customHeight="1" x14ac:dyDescent="0.25">
      <c r="A138" s="9"/>
      <c r="B138" s="9"/>
      <c r="C138" s="10"/>
      <c r="D138" s="16"/>
      <c r="E138" s="17"/>
      <c r="F138" s="14">
        <f>E137*F137</f>
        <v>5289.21072</v>
      </c>
      <c r="G138" s="18">
        <f>E137*G137</f>
        <v>1322.30268</v>
      </c>
      <c r="H138" s="14">
        <f>SUM(F138,G138)</f>
        <v>6611.5133999999998</v>
      </c>
      <c r="I138" s="13">
        <f t="shared" si="19"/>
        <v>6579.2492146080003</v>
      </c>
      <c r="J138" s="14">
        <f t="shared" si="20"/>
        <v>1644.8123036520001</v>
      </c>
      <c r="K138" s="14">
        <f>J138+I138</f>
        <v>8224.0615182600013</v>
      </c>
    </row>
    <row r="139" spans="1:11" ht="15.75" customHeight="1" x14ac:dyDescent="0.25">
      <c r="A139" s="9" t="s">
        <v>141</v>
      </c>
      <c r="B139" s="9" t="s">
        <v>48</v>
      </c>
      <c r="C139" s="28" t="s">
        <v>164</v>
      </c>
      <c r="D139" s="35" t="s">
        <v>9</v>
      </c>
      <c r="E139" s="30">
        <v>5.58</v>
      </c>
      <c r="F139" s="31">
        <f>90.96*0.8</f>
        <v>72.768000000000001</v>
      </c>
      <c r="G139" s="31">
        <f>90.96*0.2</f>
        <v>18.192</v>
      </c>
      <c r="H139" s="31"/>
      <c r="I139" s="13">
        <f t="shared" si="19"/>
        <v>90.516115200000002</v>
      </c>
      <c r="J139" s="14">
        <f t="shared" si="20"/>
        <v>22.6290288</v>
      </c>
      <c r="K139" s="14"/>
    </row>
    <row r="140" spans="1:11" ht="15.75" customHeight="1" x14ac:dyDescent="0.25">
      <c r="A140" s="9"/>
      <c r="B140" s="9"/>
      <c r="C140" s="10"/>
      <c r="D140" s="16"/>
      <c r="E140" s="17"/>
      <c r="F140" s="14">
        <f>E139*F139</f>
        <v>406.04543999999999</v>
      </c>
      <c r="G140" s="18">
        <f>E139*G139</f>
        <v>101.51136</v>
      </c>
      <c r="H140" s="14">
        <f>SUM(F140,G140)</f>
        <v>507.55679999999995</v>
      </c>
      <c r="I140" s="13">
        <f t="shared" si="19"/>
        <v>505.07992281599996</v>
      </c>
      <c r="J140" s="14">
        <f t="shared" si="20"/>
        <v>126.26998070399999</v>
      </c>
      <c r="K140" s="14">
        <f>J140+I140</f>
        <v>631.34990352</v>
      </c>
    </row>
    <row r="141" spans="1:11" ht="30" customHeight="1" x14ac:dyDescent="0.25">
      <c r="A141" s="9" t="s">
        <v>143</v>
      </c>
      <c r="B141" s="9" t="s">
        <v>166</v>
      </c>
      <c r="C141" s="10" t="s">
        <v>167</v>
      </c>
      <c r="D141" s="16" t="s">
        <v>9</v>
      </c>
      <c r="E141" s="17">
        <f>1035.97*0.6</f>
        <v>621.58199999999999</v>
      </c>
      <c r="F141" s="14">
        <f>0.19+76.4+0.16</f>
        <v>76.75</v>
      </c>
      <c r="G141" s="18">
        <v>12.53</v>
      </c>
      <c r="H141" s="14"/>
      <c r="I141" s="13">
        <f t="shared" si="19"/>
        <v>95.469324999999998</v>
      </c>
      <c r="J141" s="14">
        <f t="shared" si="20"/>
        <v>15.586067</v>
      </c>
      <c r="K141" s="14"/>
    </row>
    <row r="142" spans="1:11" ht="15.75" customHeight="1" x14ac:dyDescent="0.25">
      <c r="A142" s="9"/>
      <c r="B142" s="9"/>
      <c r="C142" s="10"/>
      <c r="D142" s="16"/>
      <c r="E142" s="17"/>
      <c r="F142" s="14">
        <f>E141*F141</f>
        <v>47706.4185</v>
      </c>
      <c r="G142" s="18">
        <f>E141*G141</f>
        <v>7788.4224599999998</v>
      </c>
      <c r="H142" s="14">
        <f>SUM(F142,G142)</f>
        <v>55494.840960000001</v>
      </c>
      <c r="I142" s="13">
        <f t="shared" si="19"/>
        <v>59342.013972150002</v>
      </c>
      <c r="J142" s="14">
        <f t="shared" si="20"/>
        <v>9688.018697993999</v>
      </c>
      <c r="K142" s="14">
        <f>J142+I142</f>
        <v>69030.032670144006</v>
      </c>
    </row>
    <row r="143" spans="1:11" ht="15.75" customHeight="1" x14ac:dyDescent="0.25">
      <c r="A143" s="9" t="s">
        <v>146</v>
      </c>
      <c r="B143" s="9" t="s">
        <v>48</v>
      </c>
      <c r="C143" s="28" t="s">
        <v>168</v>
      </c>
      <c r="D143" s="35" t="s">
        <v>24</v>
      </c>
      <c r="E143" s="30">
        <v>30.9</v>
      </c>
      <c r="F143" s="31">
        <f>82.61*0.8</f>
        <v>66.088000000000008</v>
      </c>
      <c r="G143" s="31">
        <f>82.61*0.2</f>
        <v>16.522000000000002</v>
      </c>
      <c r="H143" s="31"/>
      <c r="I143" s="13">
        <f t="shared" si="19"/>
        <v>82.206863200000015</v>
      </c>
      <c r="J143" s="14">
        <f t="shared" si="20"/>
        <v>20.551715800000004</v>
      </c>
      <c r="K143" s="14"/>
    </row>
    <row r="144" spans="1:11" ht="15.75" customHeight="1" x14ac:dyDescent="0.25">
      <c r="A144" s="9"/>
      <c r="B144" s="9"/>
      <c r="C144" s="10"/>
      <c r="D144" s="16"/>
      <c r="E144" s="17"/>
      <c r="F144" s="14">
        <f>E143*F143</f>
        <v>2042.1192000000001</v>
      </c>
      <c r="G144" s="18">
        <f>E143*G143</f>
        <v>510.52980000000002</v>
      </c>
      <c r="H144" s="14">
        <f>SUM(F144,G144)</f>
        <v>2552.6490000000003</v>
      </c>
      <c r="I144" s="13">
        <f t="shared" si="19"/>
        <v>2540.1920728800001</v>
      </c>
      <c r="J144" s="14">
        <f t="shared" si="20"/>
        <v>635.04801822000002</v>
      </c>
      <c r="K144" s="14">
        <f>J144+I144</f>
        <v>3175.2400911</v>
      </c>
    </row>
    <row r="145" spans="1:11" ht="15.75" customHeight="1" x14ac:dyDescent="0.25">
      <c r="A145" s="19" t="s">
        <v>782</v>
      </c>
      <c r="B145" s="9" t="s">
        <v>169</v>
      </c>
      <c r="C145" s="10" t="s">
        <v>170</v>
      </c>
      <c r="D145" s="16" t="s">
        <v>19</v>
      </c>
      <c r="E145" s="17">
        <v>16.38</v>
      </c>
      <c r="F145" s="14">
        <v>67.75</v>
      </c>
      <c r="G145" s="18">
        <v>25.5</v>
      </c>
      <c r="H145" s="14"/>
      <c r="I145" s="13">
        <f t="shared" si="19"/>
        <v>84.274225000000001</v>
      </c>
      <c r="J145" s="14">
        <f t="shared" si="20"/>
        <v>31.719450000000002</v>
      </c>
      <c r="K145" s="14"/>
    </row>
    <row r="146" spans="1:11" ht="15.75" customHeight="1" x14ac:dyDescent="0.25">
      <c r="A146" s="9"/>
      <c r="B146" s="9"/>
      <c r="C146" s="10"/>
      <c r="D146" s="16"/>
      <c r="E146" s="17"/>
      <c r="F146" s="14">
        <f>E145*F145</f>
        <v>1109.7449999999999</v>
      </c>
      <c r="G146" s="18">
        <f>E145*G145</f>
        <v>417.69</v>
      </c>
      <c r="H146" s="14">
        <f>SUM(F146,G146)</f>
        <v>1527.4349999999999</v>
      </c>
      <c r="I146" s="13">
        <f t="shared" si="19"/>
        <v>1380.4118054999999</v>
      </c>
      <c r="J146" s="14">
        <f t="shared" si="20"/>
        <v>519.56459099999995</v>
      </c>
      <c r="K146" s="14">
        <f>J146+I146</f>
        <v>1899.9763964999997</v>
      </c>
    </row>
    <row r="147" spans="1:11" ht="15.75" customHeight="1" x14ac:dyDescent="0.25">
      <c r="A147" s="9" t="s">
        <v>783</v>
      </c>
      <c r="B147" s="9" t="s">
        <v>171</v>
      </c>
      <c r="C147" s="10" t="s">
        <v>172</v>
      </c>
      <c r="D147" s="16" t="s">
        <v>9</v>
      </c>
      <c r="E147" s="17">
        <f>546.04*0.5</f>
        <v>273.02</v>
      </c>
      <c r="F147" s="14">
        <f>0.03+47.04+0.06</f>
        <v>47.13</v>
      </c>
      <c r="G147" s="18">
        <v>14.49</v>
      </c>
      <c r="H147" s="14"/>
      <c r="I147" s="13">
        <f t="shared" si="19"/>
        <v>58.625007000000004</v>
      </c>
      <c r="J147" s="14">
        <f t="shared" si="20"/>
        <v>18.024111000000001</v>
      </c>
      <c r="K147" s="14"/>
    </row>
    <row r="148" spans="1:11" ht="15.75" customHeight="1" x14ac:dyDescent="0.25">
      <c r="A148" s="9"/>
      <c r="B148" s="9"/>
      <c r="C148" s="10"/>
      <c r="D148" s="16"/>
      <c r="E148" s="17"/>
      <c r="F148" s="14">
        <f>E147*F147</f>
        <v>12867.4326</v>
      </c>
      <c r="G148" s="18">
        <f>E147*G147</f>
        <v>3956.0598</v>
      </c>
      <c r="H148" s="14">
        <f>SUM(F148,G148)</f>
        <v>16823.492399999999</v>
      </c>
      <c r="I148" s="13">
        <f t="shared" si="19"/>
        <v>16005.79941114</v>
      </c>
      <c r="J148" s="14">
        <f t="shared" si="20"/>
        <v>4920.9427852199997</v>
      </c>
      <c r="K148" s="14">
        <f>J148+I148</f>
        <v>20926.742196359999</v>
      </c>
    </row>
    <row r="149" spans="1:11" ht="15.75" customHeight="1" x14ac:dyDescent="0.25">
      <c r="A149" s="9" t="s">
        <v>784</v>
      </c>
      <c r="B149" s="9" t="s">
        <v>166</v>
      </c>
      <c r="C149" s="10" t="s">
        <v>173</v>
      </c>
      <c r="D149" s="16" t="s">
        <v>9</v>
      </c>
      <c r="E149" s="17">
        <v>63.05</v>
      </c>
      <c r="F149" s="14">
        <f>0.19+76.4+0.16</f>
        <v>76.75</v>
      </c>
      <c r="G149" s="18">
        <v>12.53</v>
      </c>
      <c r="H149" s="14"/>
      <c r="I149" s="13">
        <f t="shared" si="19"/>
        <v>95.469324999999998</v>
      </c>
      <c r="J149" s="14">
        <f t="shared" si="20"/>
        <v>15.586067</v>
      </c>
      <c r="K149" s="14"/>
    </row>
    <row r="150" spans="1:11" ht="15.75" customHeight="1" x14ac:dyDescent="0.25">
      <c r="A150" s="9"/>
      <c r="B150" s="9"/>
      <c r="C150" s="10"/>
      <c r="D150" s="16"/>
      <c r="E150" s="17"/>
      <c r="F150" s="14">
        <f>E149*F149</f>
        <v>4839.0874999999996</v>
      </c>
      <c r="G150" s="18">
        <f>E149*G149</f>
        <v>790.01649999999995</v>
      </c>
      <c r="H150" s="14">
        <f>SUM(F150,G150)</f>
        <v>5629.1039999999994</v>
      </c>
      <c r="I150" s="13">
        <f t="shared" si="19"/>
        <v>6019.3409412499996</v>
      </c>
      <c r="J150" s="14">
        <f t="shared" si="20"/>
        <v>982.70152435</v>
      </c>
      <c r="K150" s="14">
        <f>J150+I150</f>
        <v>7002.0424655999996</v>
      </c>
    </row>
    <row r="151" spans="1:11" ht="15.75" customHeight="1" x14ac:dyDescent="0.25">
      <c r="A151" s="9" t="s">
        <v>785</v>
      </c>
      <c r="B151" s="9" t="s">
        <v>174</v>
      </c>
      <c r="C151" s="10" t="s">
        <v>175</v>
      </c>
      <c r="D151" s="16" t="s">
        <v>24</v>
      </c>
      <c r="E151" s="17">
        <v>241.96</v>
      </c>
      <c r="F151" s="14">
        <f>0.68+19.15</f>
        <v>19.829999999999998</v>
      </c>
      <c r="G151" s="18">
        <v>11.6</v>
      </c>
      <c r="H151" s="14"/>
      <c r="I151" s="13">
        <f t="shared" si="19"/>
        <v>24.666536999999998</v>
      </c>
      <c r="J151" s="14">
        <f t="shared" si="20"/>
        <v>14.42924</v>
      </c>
      <c r="K151" s="14"/>
    </row>
    <row r="152" spans="1:11" ht="15.75" customHeight="1" x14ac:dyDescent="0.25">
      <c r="A152" s="9"/>
      <c r="B152" s="9"/>
      <c r="C152" s="10"/>
      <c r="D152" s="16"/>
      <c r="E152" s="17"/>
      <c r="F152" s="14">
        <f>E151*F151</f>
        <v>4798.0667999999996</v>
      </c>
      <c r="G152" s="18">
        <f>E151*G151</f>
        <v>2806.7359999999999</v>
      </c>
      <c r="H152" s="14">
        <f>SUM(F152,G152)</f>
        <v>7604.8027999999995</v>
      </c>
      <c r="I152" s="13">
        <f t="shared" si="19"/>
        <v>5968.3152925199993</v>
      </c>
      <c r="J152" s="14">
        <f t="shared" si="20"/>
        <v>3491.2989103999998</v>
      </c>
      <c r="K152" s="14">
        <f>J152+I152</f>
        <v>9459.6142029199982</v>
      </c>
    </row>
    <row r="153" spans="1:11" ht="30" customHeight="1" x14ac:dyDescent="0.25">
      <c r="A153" s="9" t="s">
        <v>786</v>
      </c>
      <c r="B153" s="9" t="s">
        <v>48</v>
      </c>
      <c r="C153" s="28" t="s">
        <v>176</v>
      </c>
      <c r="D153" s="35" t="s">
        <v>9</v>
      </c>
      <c r="E153" s="30">
        <v>1707.59</v>
      </c>
      <c r="F153" s="31">
        <f>75.52*0.8</f>
        <v>60.415999999999997</v>
      </c>
      <c r="G153" s="31">
        <f>75.52*0.2</f>
        <v>15.103999999999999</v>
      </c>
      <c r="H153" s="31"/>
      <c r="I153" s="13">
        <f t="shared" si="19"/>
        <v>75.1514624</v>
      </c>
      <c r="J153" s="14">
        <f t="shared" si="20"/>
        <v>18.7878656</v>
      </c>
      <c r="K153" s="14"/>
    </row>
    <row r="154" spans="1:11" ht="15.75" customHeight="1" x14ac:dyDescent="0.25">
      <c r="A154" s="9"/>
      <c r="B154" s="9"/>
      <c r="C154" s="10"/>
      <c r="D154" s="16"/>
      <c r="E154" s="17"/>
      <c r="F154" s="14">
        <f>E153*F153</f>
        <v>103165.75743999999</v>
      </c>
      <c r="G154" s="18">
        <f>E153*G153</f>
        <v>25791.439359999997</v>
      </c>
      <c r="H154" s="14">
        <f>SUM(F154,G154)</f>
        <v>128957.19679999998</v>
      </c>
      <c r="I154" s="13">
        <f t="shared" si="19"/>
        <v>128327.88567961598</v>
      </c>
      <c r="J154" s="14">
        <f t="shared" si="20"/>
        <v>32081.971419903995</v>
      </c>
      <c r="K154" s="14">
        <f>J154+I154</f>
        <v>160409.85709951998</v>
      </c>
    </row>
    <row r="155" spans="1:11" ht="15.75" customHeight="1" x14ac:dyDescent="0.25">
      <c r="A155" s="9"/>
      <c r="B155" s="9"/>
      <c r="C155" s="10"/>
      <c r="D155" s="16"/>
      <c r="E155" s="17"/>
      <c r="F155" s="14"/>
      <c r="G155" s="18"/>
      <c r="H155" s="14"/>
      <c r="I155" s="14"/>
      <c r="J155" s="18"/>
      <c r="K155" s="14"/>
    </row>
    <row r="156" spans="1:11" ht="15.75" customHeight="1" x14ac:dyDescent="0.25">
      <c r="A156" s="9"/>
      <c r="B156" s="9"/>
      <c r="C156" s="21" t="s">
        <v>177</v>
      </c>
      <c r="D156" s="16"/>
      <c r="E156" s="17"/>
      <c r="F156" s="14">
        <f t="shared" ref="F156:J156" si="21">F154+F152+F150+F148+F146+F144+F142+F140+F138+F136+F134+F132+F130</f>
        <v>248814.66896000001</v>
      </c>
      <c r="G156" s="14">
        <f t="shared" si="21"/>
        <v>65582.266680000001</v>
      </c>
      <c r="H156" s="14">
        <f>SUM(F156,G156)</f>
        <v>314396.93564000004</v>
      </c>
      <c r="I156" s="14">
        <f t="shared" si="21"/>
        <v>309500.56671934394</v>
      </c>
      <c r="J156" s="14">
        <f t="shared" si="21"/>
        <v>81577.781523251993</v>
      </c>
      <c r="K156" s="14">
        <f>SUM(I156,J156)</f>
        <v>391078.34824259591</v>
      </c>
    </row>
    <row r="157" spans="1:11" ht="15.75" customHeight="1" x14ac:dyDescent="0.25">
      <c r="A157" s="9"/>
      <c r="B157" s="9"/>
      <c r="C157" s="10"/>
      <c r="D157" s="16"/>
      <c r="E157" s="17"/>
      <c r="F157" s="14"/>
      <c r="G157" s="18"/>
      <c r="H157" s="14"/>
      <c r="I157" s="14"/>
      <c r="J157" s="18"/>
      <c r="K157" s="14"/>
    </row>
    <row r="158" spans="1:11" ht="15.75" customHeight="1" x14ac:dyDescent="0.25">
      <c r="A158" s="3" t="s">
        <v>149</v>
      </c>
      <c r="B158" s="3"/>
      <c r="C158" s="4" t="s">
        <v>179</v>
      </c>
      <c r="D158" s="24"/>
      <c r="E158" s="22"/>
      <c r="F158" s="8"/>
      <c r="G158" s="23"/>
      <c r="H158" s="8"/>
      <c r="I158" s="8"/>
      <c r="J158" s="23"/>
      <c r="K158" s="8"/>
    </row>
    <row r="159" spans="1:11" ht="15.75" customHeight="1" x14ac:dyDescent="0.25">
      <c r="A159" s="9" t="s">
        <v>151</v>
      </c>
      <c r="B159" s="9" t="s">
        <v>181</v>
      </c>
      <c r="C159" s="10" t="s">
        <v>182</v>
      </c>
      <c r="D159" s="11" t="s">
        <v>9</v>
      </c>
      <c r="E159" s="17">
        <v>1321.54</v>
      </c>
      <c r="F159" s="14">
        <v>6.58</v>
      </c>
      <c r="G159" s="18">
        <v>6.49</v>
      </c>
      <c r="H159" s="14"/>
      <c r="I159" s="13">
        <f t="shared" ref="I159:I172" si="22">F159*1.2439</f>
        <v>8.1848620000000007</v>
      </c>
      <c r="J159" s="14">
        <f t="shared" ref="J159:J172" si="23">G159*1.2439</f>
        <v>8.0729109999999995</v>
      </c>
      <c r="K159" s="14"/>
    </row>
    <row r="160" spans="1:11" ht="15.75" customHeight="1" x14ac:dyDescent="0.25">
      <c r="A160" s="9"/>
      <c r="B160" s="9"/>
      <c r="C160" s="10"/>
      <c r="D160" s="16"/>
      <c r="E160" s="17"/>
      <c r="F160" s="14">
        <f>E159*F159</f>
        <v>8695.7332000000006</v>
      </c>
      <c r="G160" s="18">
        <f>E159*G159</f>
        <v>8576.7945999999993</v>
      </c>
      <c r="H160" s="14">
        <f>SUM(F160,G160)</f>
        <v>17272.5278</v>
      </c>
      <c r="I160" s="13">
        <f t="shared" si="22"/>
        <v>10816.62252748</v>
      </c>
      <c r="J160" s="14">
        <f t="shared" si="23"/>
        <v>10668.674802939999</v>
      </c>
      <c r="K160" s="14">
        <f>J160+I160</f>
        <v>21485.297330419999</v>
      </c>
    </row>
    <row r="161" spans="1:11" ht="15.75" customHeight="1" x14ac:dyDescent="0.25">
      <c r="A161" s="9" t="s">
        <v>154</v>
      </c>
      <c r="B161" s="9" t="s">
        <v>184</v>
      </c>
      <c r="C161" s="10" t="s">
        <v>185</v>
      </c>
      <c r="D161" s="11" t="s">
        <v>9</v>
      </c>
      <c r="E161" s="17">
        <v>1531.13</v>
      </c>
      <c r="F161" s="14">
        <v>9.59</v>
      </c>
      <c r="G161" s="18">
        <v>14.02</v>
      </c>
      <c r="H161" s="14"/>
      <c r="I161" s="13">
        <f t="shared" si="22"/>
        <v>11.929001</v>
      </c>
      <c r="J161" s="14">
        <f t="shared" si="23"/>
        <v>17.439478000000001</v>
      </c>
      <c r="K161" s="14"/>
    </row>
    <row r="162" spans="1:11" ht="15.75" customHeight="1" x14ac:dyDescent="0.25">
      <c r="A162" s="9"/>
      <c r="B162" s="9"/>
      <c r="C162" s="10"/>
      <c r="D162" s="16"/>
      <c r="E162" s="17"/>
      <c r="F162" s="14">
        <f>E161*F161</f>
        <v>14683.536700000001</v>
      </c>
      <c r="G162" s="18">
        <f>E161*G161</f>
        <v>21466.442600000002</v>
      </c>
      <c r="H162" s="14">
        <f>SUM(F162,G162)</f>
        <v>36149.979300000006</v>
      </c>
      <c r="I162" s="13">
        <f t="shared" si="22"/>
        <v>18264.851301130002</v>
      </c>
      <c r="J162" s="14">
        <f t="shared" si="23"/>
        <v>26702.107950140002</v>
      </c>
      <c r="K162" s="14">
        <f>J162+I162</f>
        <v>44966.959251270004</v>
      </c>
    </row>
    <row r="163" spans="1:11" ht="15.75" customHeight="1" x14ac:dyDescent="0.25">
      <c r="A163" s="9" t="s">
        <v>157</v>
      </c>
      <c r="B163" s="9" t="s">
        <v>187</v>
      </c>
      <c r="C163" s="10" t="s">
        <v>188</v>
      </c>
      <c r="D163" s="11" t="s">
        <v>9</v>
      </c>
      <c r="E163" s="17">
        <v>4060.78</v>
      </c>
      <c r="F163" s="14">
        <v>8.7100000000000009</v>
      </c>
      <c r="G163" s="18">
        <v>3.9</v>
      </c>
      <c r="H163" s="14"/>
      <c r="I163" s="13">
        <f t="shared" si="22"/>
        <v>10.834369000000001</v>
      </c>
      <c r="J163" s="14">
        <f t="shared" si="23"/>
        <v>4.85121</v>
      </c>
      <c r="K163" s="14"/>
    </row>
    <row r="164" spans="1:11" ht="15.75" customHeight="1" x14ac:dyDescent="0.25">
      <c r="A164" s="9"/>
      <c r="B164" s="9"/>
      <c r="C164" s="10"/>
      <c r="D164" s="16"/>
      <c r="E164" s="17"/>
      <c r="F164" s="14">
        <f>E163*F163</f>
        <v>35369.393800000005</v>
      </c>
      <c r="G164" s="18">
        <f>E163*G163</f>
        <v>15837.042000000001</v>
      </c>
      <c r="H164" s="14">
        <f>SUM(F164,G164)</f>
        <v>51206.435800000007</v>
      </c>
      <c r="I164" s="13">
        <f t="shared" si="22"/>
        <v>43995.988947820006</v>
      </c>
      <c r="J164" s="14">
        <f t="shared" si="23"/>
        <v>19699.696543800001</v>
      </c>
      <c r="K164" s="14">
        <f>J164+I164</f>
        <v>63695.68549162001</v>
      </c>
    </row>
    <row r="165" spans="1:11" ht="15.75" customHeight="1" x14ac:dyDescent="0.25">
      <c r="A165" s="9" t="s">
        <v>159</v>
      </c>
      <c r="B165" s="9" t="s">
        <v>190</v>
      </c>
      <c r="C165" s="10" t="s">
        <v>191</v>
      </c>
      <c r="D165" s="16" t="s">
        <v>9</v>
      </c>
      <c r="E165" s="17">
        <v>1531.13</v>
      </c>
      <c r="F165" s="14">
        <v>7.6</v>
      </c>
      <c r="G165" s="18">
        <v>3.52</v>
      </c>
      <c r="H165" s="14"/>
      <c r="I165" s="13">
        <f t="shared" si="22"/>
        <v>9.45364</v>
      </c>
      <c r="J165" s="14">
        <f t="shared" si="23"/>
        <v>4.3785280000000002</v>
      </c>
      <c r="K165" s="14"/>
    </row>
    <row r="166" spans="1:11" ht="15.75" customHeight="1" x14ac:dyDescent="0.25">
      <c r="A166" s="9"/>
      <c r="B166" s="9"/>
      <c r="C166" s="10"/>
      <c r="D166" s="16"/>
      <c r="E166" s="17"/>
      <c r="F166" s="14">
        <f>E165*F165</f>
        <v>11636.588</v>
      </c>
      <c r="G166" s="18">
        <f>E165*G165</f>
        <v>5389.5776000000005</v>
      </c>
      <c r="H166" s="14">
        <f>SUM(F166,G166)</f>
        <v>17026.1656</v>
      </c>
      <c r="I166" s="13">
        <f t="shared" si="22"/>
        <v>14474.7518132</v>
      </c>
      <c r="J166" s="14">
        <f t="shared" si="23"/>
        <v>6704.0955766400011</v>
      </c>
      <c r="K166" s="14">
        <f>J166+I166</f>
        <v>21178.847389840001</v>
      </c>
    </row>
    <row r="167" spans="1:11" ht="15.75" customHeight="1" x14ac:dyDescent="0.25">
      <c r="A167" s="9" t="s">
        <v>161</v>
      </c>
      <c r="B167" s="9" t="s">
        <v>193</v>
      </c>
      <c r="C167" s="10" t="s">
        <v>194</v>
      </c>
      <c r="D167" s="11" t="s">
        <v>9</v>
      </c>
      <c r="E167" s="17">
        <v>55.84</v>
      </c>
      <c r="F167" s="14">
        <v>14.15</v>
      </c>
      <c r="G167" s="18">
        <v>10.92</v>
      </c>
      <c r="H167" s="14"/>
      <c r="I167" s="13">
        <f t="shared" si="22"/>
        <v>17.601185000000001</v>
      </c>
      <c r="J167" s="14">
        <f t="shared" si="23"/>
        <v>13.583387999999999</v>
      </c>
      <c r="K167" s="14"/>
    </row>
    <row r="168" spans="1:11" ht="15.75" customHeight="1" x14ac:dyDescent="0.25">
      <c r="A168" s="9"/>
      <c r="B168" s="9"/>
      <c r="C168" s="10"/>
      <c r="D168" s="16"/>
      <c r="E168" s="17"/>
      <c r="F168" s="14">
        <f>E167*F167</f>
        <v>790.13600000000008</v>
      </c>
      <c r="G168" s="18">
        <f>E167*G167</f>
        <v>609.77280000000007</v>
      </c>
      <c r="H168" s="14">
        <f>SUM(F168,G168)</f>
        <v>1399.9088000000002</v>
      </c>
      <c r="I168" s="13">
        <f t="shared" si="22"/>
        <v>982.85017040000014</v>
      </c>
      <c r="J168" s="14">
        <f t="shared" si="23"/>
        <v>758.49638592000008</v>
      </c>
      <c r="K168" s="14">
        <f>J168+I168</f>
        <v>1741.3465563200002</v>
      </c>
    </row>
    <row r="169" spans="1:11" ht="15.75" customHeight="1" x14ac:dyDescent="0.25">
      <c r="A169" s="9" t="s">
        <v>163</v>
      </c>
      <c r="B169" s="9" t="s">
        <v>196</v>
      </c>
      <c r="C169" s="10" t="s">
        <v>197</v>
      </c>
      <c r="D169" s="16" t="s">
        <v>9</v>
      </c>
      <c r="E169" s="17">
        <v>21.6</v>
      </c>
      <c r="F169" s="14">
        <v>12.53</v>
      </c>
      <c r="G169" s="18">
        <v>14.45</v>
      </c>
      <c r="H169" s="14"/>
      <c r="I169" s="13">
        <f t="shared" si="22"/>
        <v>15.586067</v>
      </c>
      <c r="J169" s="14">
        <f t="shared" si="23"/>
        <v>17.974354999999999</v>
      </c>
      <c r="K169" s="14"/>
    </row>
    <row r="170" spans="1:11" ht="15.75" customHeight="1" x14ac:dyDescent="0.25">
      <c r="A170" s="9"/>
      <c r="B170" s="9"/>
      <c r="C170" s="10"/>
      <c r="D170" s="16"/>
      <c r="E170" s="17"/>
      <c r="F170" s="14">
        <f>E169*F169</f>
        <v>270.64800000000002</v>
      </c>
      <c r="G170" s="18">
        <f>E169*G169</f>
        <v>312.12</v>
      </c>
      <c r="H170" s="14">
        <f>SUM(F170,G170)</f>
        <v>582.76800000000003</v>
      </c>
      <c r="I170" s="13">
        <f t="shared" si="22"/>
        <v>336.65904720000003</v>
      </c>
      <c r="J170" s="14">
        <f t="shared" si="23"/>
        <v>388.24606799999998</v>
      </c>
      <c r="K170" s="14">
        <f>J170+I170</f>
        <v>724.90511519999995</v>
      </c>
    </row>
    <row r="171" spans="1:11" ht="15.75" customHeight="1" x14ac:dyDescent="0.25">
      <c r="A171" s="9" t="s">
        <v>165</v>
      </c>
      <c r="B171" s="9" t="s">
        <v>193</v>
      </c>
      <c r="C171" s="10" t="s">
        <v>199</v>
      </c>
      <c r="D171" s="16" t="s">
        <v>9</v>
      </c>
      <c r="E171" s="17">
        <v>229.68</v>
      </c>
      <c r="F171" s="14">
        <v>14.15</v>
      </c>
      <c r="G171" s="18">
        <v>10.92</v>
      </c>
      <c r="H171" s="14"/>
      <c r="I171" s="13">
        <f t="shared" si="22"/>
        <v>17.601185000000001</v>
      </c>
      <c r="J171" s="14">
        <f t="shared" si="23"/>
        <v>13.583387999999999</v>
      </c>
      <c r="K171" s="14"/>
    </row>
    <row r="172" spans="1:11" ht="15.75" customHeight="1" x14ac:dyDescent="0.25">
      <c r="A172" s="9"/>
      <c r="B172" s="9"/>
      <c r="C172" s="10"/>
      <c r="D172" s="16"/>
      <c r="E172" s="17"/>
      <c r="F172" s="14">
        <f>E171*F171</f>
        <v>3249.9720000000002</v>
      </c>
      <c r="G172" s="18">
        <f>E171*G171</f>
        <v>2508.1055999999999</v>
      </c>
      <c r="H172" s="14">
        <f>SUM(F172,G172)</f>
        <v>5758.0776000000005</v>
      </c>
      <c r="I172" s="13">
        <f t="shared" si="22"/>
        <v>4042.6401708000003</v>
      </c>
      <c r="J172" s="14">
        <f t="shared" si="23"/>
        <v>3119.8325558399997</v>
      </c>
      <c r="K172" s="14">
        <f>J172+I172</f>
        <v>7162.4727266400005</v>
      </c>
    </row>
    <row r="173" spans="1:11" ht="15.75" customHeight="1" x14ac:dyDescent="0.25">
      <c r="A173" s="9"/>
      <c r="B173" s="9"/>
      <c r="C173" s="10"/>
      <c r="D173" s="16"/>
      <c r="E173" s="17"/>
      <c r="F173" s="14"/>
      <c r="G173" s="18"/>
      <c r="H173" s="14"/>
      <c r="I173" s="14"/>
      <c r="J173" s="18"/>
      <c r="K173" s="14"/>
    </row>
    <row r="174" spans="1:11" ht="15.75" customHeight="1" x14ac:dyDescent="0.25">
      <c r="A174" s="9"/>
      <c r="B174" s="9"/>
      <c r="C174" s="21" t="s">
        <v>200</v>
      </c>
      <c r="D174" s="16"/>
      <c r="E174" s="17"/>
      <c r="F174" s="14">
        <f t="shared" ref="F174:J174" si="24">SUM(F172,F170,F168,F166,F164,F162,F160)</f>
        <v>74696.007700000002</v>
      </c>
      <c r="G174" s="14">
        <f t="shared" si="24"/>
        <v>54699.855200000005</v>
      </c>
      <c r="H174" s="14">
        <f>SUM(F174,G174)</f>
        <v>129395.86290000001</v>
      </c>
      <c r="I174" s="14">
        <f t="shared" si="24"/>
        <v>92914.36397803</v>
      </c>
      <c r="J174" s="14">
        <f t="shared" si="24"/>
        <v>68041.149883279999</v>
      </c>
      <c r="K174" s="14">
        <f>SUM(I174,J174)</f>
        <v>160955.51386131</v>
      </c>
    </row>
    <row r="175" spans="1:11" ht="15.75" customHeight="1" x14ac:dyDescent="0.25">
      <c r="A175" s="9"/>
      <c r="B175" s="9"/>
      <c r="C175" s="10"/>
      <c r="D175" s="16"/>
      <c r="E175" s="17"/>
      <c r="F175" s="14"/>
      <c r="G175" s="18"/>
      <c r="H175" s="14"/>
      <c r="I175" s="14"/>
      <c r="J175" s="18"/>
      <c r="K175" s="14"/>
    </row>
    <row r="176" spans="1:11" ht="15.75" customHeight="1" x14ac:dyDescent="0.25">
      <c r="A176" s="3" t="s">
        <v>178</v>
      </c>
      <c r="B176" s="3"/>
      <c r="C176" s="4" t="s">
        <v>202</v>
      </c>
      <c r="D176" s="24"/>
      <c r="E176" s="22"/>
      <c r="F176" s="8"/>
      <c r="G176" s="23"/>
      <c r="H176" s="8"/>
      <c r="I176" s="8"/>
      <c r="J176" s="23"/>
      <c r="K176" s="8"/>
    </row>
    <row r="177" spans="1:11" ht="15.75" customHeight="1" x14ac:dyDescent="0.25">
      <c r="A177" s="9" t="s">
        <v>180</v>
      </c>
      <c r="B177" s="9" t="s">
        <v>204</v>
      </c>
      <c r="C177" s="10" t="s">
        <v>205</v>
      </c>
      <c r="D177" s="16" t="s">
        <v>24</v>
      </c>
      <c r="E177" s="17">
        <v>150</v>
      </c>
      <c r="F177" s="14">
        <v>3.2</v>
      </c>
      <c r="G177" s="18">
        <v>2.71</v>
      </c>
      <c r="H177" s="14"/>
      <c r="I177" s="13">
        <f t="shared" ref="I177:I208" si="25">F177*1.2439</f>
        <v>3.98048</v>
      </c>
      <c r="J177" s="14">
        <f t="shared" ref="J177:J208" si="26">G177*1.2439</f>
        <v>3.3709690000000001</v>
      </c>
      <c r="K177" s="14"/>
    </row>
    <row r="178" spans="1:11" ht="15.75" customHeight="1" x14ac:dyDescent="0.25">
      <c r="A178" s="9"/>
      <c r="B178" s="9"/>
      <c r="C178" s="10"/>
      <c r="D178" s="16"/>
      <c r="E178" s="17"/>
      <c r="F178" s="14">
        <f>E177*F177</f>
        <v>480</v>
      </c>
      <c r="G178" s="18">
        <f>E177*G177</f>
        <v>406.5</v>
      </c>
      <c r="H178" s="14">
        <f>SUM(F178,G178)</f>
        <v>886.5</v>
      </c>
      <c r="I178" s="13">
        <f t="shared" si="25"/>
        <v>597.072</v>
      </c>
      <c r="J178" s="14">
        <f t="shared" si="26"/>
        <v>505.64535000000001</v>
      </c>
      <c r="K178" s="14">
        <f>J178+I178</f>
        <v>1102.7173499999999</v>
      </c>
    </row>
    <row r="179" spans="1:11" ht="15.75" customHeight="1" x14ac:dyDescent="0.25">
      <c r="A179" s="9" t="s">
        <v>183</v>
      </c>
      <c r="B179" s="9" t="s">
        <v>207</v>
      </c>
      <c r="C179" s="10" t="s">
        <v>208</v>
      </c>
      <c r="D179" s="16" t="s">
        <v>24</v>
      </c>
      <c r="E179" s="17">
        <v>135.30000000000001</v>
      </c>
      <c r="F179" s="14">
        <v>3</v>
      </c>
      <c r="G179" s="18">
        <v>0.43</v>
      </c>
      <c r="H179" s="14"/>
      <c r="I179" s="13">
        <f t="shared" si="25"/>
        <v>3.7317</v>
      </c>
      <c r="J179" s="14">
        <f t="shared" si="26"/>
        <v>0.53487700000000005</v>
      </c>
      <c r="K179" s="14"/>
    </row>
    <row r="180" spans="1:11" ht="15.75" customHeight="1" x14ac:dyDescent="0.25">
      <c r="A180" s="9"/>
      <c r="B180" s="9"/>
      <c r="C180" s="10"/>
      <c r="D180" s="16"/>
      <c r="E180" s="17"/>
      <c r="F180" s="14">
        <f>E179*F179</f>
        <v>405.90000000000003</v>
      </c>
      <c r="G180" s="18">
        <f>E179*G179</f>
        <v>58.179000000000002</v>
      </c>
      <c r="H180" s="14">
        <f>SUM(F180,G180)</f>
        <v>464.07900000000006</v>
      </c>
      <c r="I180" s="13">
        <f t="shared" si="25"/>
        <v>504.89901000000003</v>
      </c>
      <c r="J180" s="14">
        <f t="shared" si="26"/>
        <v>72.368858099999997</v>
      </c>
      <c r="K180" s="14">
        <f>J180+I180</f>
        <v>577.26786809999999</v>
      </c>
    </row>
    <row r="181" spans="1:11" ht="15.75" customHeight="1" x14ac:dyDescent="0.25">
      <c r="A181" s="9" t="s">
        <v>186</v>
      </c>
      <c r="B181" s="9" t="s">
        <v>210</v>
      </c>
      <c r="C181" s="10" t="s">
        <v>211</v>
      </c>
      <c r="D181" s="16" t="s">
        <v>24</v>
      </c>
      <c r="E181" s="17">
        <v>29</v>
      </c>
      <c r="F181" s="14">
        <v>6.56</v>
      </c>
      <c r="G181" s="18">
        <v>0.54</v>
      </c>
      <c r="H181" s="14"/>
      <c r="I181" s="13">
        <f t="shared" si="25"/>
        <v>8.1599839999999997</v>
      </c>
      <c r="J181" s="14">
        <f t="shared" si="26"/>
        <v>0.67170600000000003</v>
      </c>
      <c r="K181" s="14"/>
    </row>
    <row r="182" spans="1:11" ht="15.75" customHeight="1" x14ac:dyDescent="0.25">
      <c r="A182" s="9"/>
      <c r="B182" s="9"/>
      <c r="C182" s="10"/>
      <c r="D182" s="16"/>
      <c r="E182" s="17"/>
      <c r="F182" s="14">
        <f>E181*F181</f>
        <v>190.23999999999998</v>
      </c>
      <c r="G182" s="18">
        <f>E181*G181</f>
        <v>15.66</v>
      </c>
      <c r="H182" s="14">
        <f>SUM(F182,G182)</f>
        <v>205.89999999999998</v>
      </c>
      <c r="I182" s="13">
        <f t="shared" si="25"/>
        <v>236.63953599999996</v>
      </c>
      <c r="J182" s="14">
        <f t="shared" si="26"/>
        <v>19.479474</v>
      </c>
      <c r="K182" s="14">
        <f>J182+I182</f>
        <v>256.11900999999995</v>
      </c>
    </row>
    <row r="183" spans="1:11" ht="15.75" customHeight="1" x14ac:dyDescent="0.25">
      <c r="A183" s="9" t="s">
        <v>189</v>
      </c>
      <c r="B183" s="9" t="s">
        <v>213</v>
      </c>
      <c r="C183" s="10" t="s">
        <v>214</v>
      </c>
      <c r="D183" s="16" t="s">
        <v>24</v>
      </c>
      <c r="E183" s="17">
        <v>98</v>
      </c>
      <c r="F183" s="14">
        <v>9.52</v>
      </c>
      <c r="G183" s="18">
        <v>0.65</v>
      </c>
      <c r="H183" s="14"/>
      <c r="I183" s="13">
        <f t="shared" si="25"/>
        <v>11.841927999999999</v>
      </c>
      <c r="J183" s="14">
        <f t="shared" si="26"/>
        <v>0.808535</v>
      </c>
      <c r="K183" s="14"/>
    </row>
    <row r="184" spans="1:11" ht="15.75" customHeight="1" x14ac:dyDescent="0.25">
      <c r="A184" s="9"/>
      <c r="B184" s="9"/>
      <c r="C184" s="10"/>
      <c r="D184" s="16"/>
      <c r="E184" s="17"/>
      <c r="F184" s="14">
        <f>E183*F183</f>
        <v>932.95999999999992</v>
      </c>
      <c r="G184" s="18">
        <f>E183*G183</f>
        <v>63.7</v>
      </c>
      <c r="H184" s="14">
        <f>SUM(F184,G184)</f>
        <v>996.66</v>
      </c>
      <c r="I184" s="13">
        <f t="shared" si="25"/>
        <v>1160.5089439999999</v>
      </c>
      <c r="J184" s="14">
        <f t="shared" si="26"/>
        <v>79.236429999999999</v>
      </c>
      <c r="K184" s="14">
        <f>J184+I184</f>
        <v>1239.7453739999999</v>
      </c>
    </row>
    <row r="185" spans="1:11" ht="15.75" customHeight="1" x14ac:dyDescent="0.25">
      <c r="A185" s="9" t="s">
        <v>192</v>
      </c>
      <c r="B185" s="9" t="s">
        <v>216</v>
      </c>
      <c r="C185" s="10" t="s">
        <v>217</v>
      </c>
      <c r="D185" s="16" t="s">
        <v>24</v>
      </c>
      <c r="E185" s="17">
        <v>80.349999999999994</v>
      </c>
      <c r="F185" s="14">
        <v>10.91</v>
      </c>
      <c r="G185" s="18">
        <v>0.79</v>
      </c>
      <c r="H185" s="14"/>
      <c r="I185" s="13">
        <f t="shared" si="25"/>
        <v>13.570949000000001</v>
      </c>
      <c r="J185" s="14">
        <f t="shared" si="26"/>
        <v>0.98268100000000003</v>
      </c>
      <c r="K185" s="14"/>
    </row>
    <row r="186" spans="1:11" ht="15.75" customHeight="1" x14ac:dyDescent="0.25">
      <c r="A186" s="9"/>
      <c r="B186" s="9"/>
      <c r="C186" s="10"/>
      <c r="D186" s="16"/>
      <c r="E186" s="17"/>
      <c r="F186" s="14">
        <f>E185*F185</f>
        <v>876.61849999999993</v>
      </c>
      <c r="G186" s="18">
        <f>E185*G185</f>
        <v>63.476500000000001</v>
      </c>
      <c r="H186" s="14">
        <f>SUM(F186,G186)</f>
        <v>940.09499999999991</v>
      </c>
      <c r="I186" s="13">
        <f t="shared" si="25"/>
        <v>1090.4257521499999</v>
      </c>
      <c r="J186" s="14">
        <f t="shared" si="26"/>
        <v>78.958418350000002</v>
      </c>
      <c r="K186" s="14">
        <f>J186+I186</f>
        <v>1169.3841705</v>
      </c>
    </row>
    <row r="187" spans="1:11" ht="15.75" customHeight="1" x14ac:dyDescent="0.25">
      <c r="A187" s="9" t="s">
        <v>195</v>
      </c>
      <c r="B187" s="9" t="s">
        <v>219</v>
      </c>
      <c r="C187" s="10" t="s">
        <v>220</v>
      </c>
      <c r="D187" s="16" t="s">
        <v>24</v>
      </c>
      <c r="E187" s="17">
        <v>91.3</v>
      </c>
      <c r="F187" s="14">
        <v>18.260000000000002</v>
      </c>
      <c r="G187" s="18">
        <v>0.92</v>
      </c>
      <c r="H187" s="14"/>
      <c r="I187" s="13">
        <f t="shared" si="25"/>
        <v>22.713614000000003</v>
      </c>
      <c r="J187" s="14">
        <f t="shared" si="26"/>
        <v>1.144388</v>
      </c>
      <c r="K187" s="14"/>
    </row>
    <row r="188" spans="1:11" ht="15.75" customHeight="1" x14ac:dyDescent="0.25">
      <c r="A188" s="9"/>
      <c r="B188" s="9"/>
      <c r="C188" s="10"/>
      <c r="D188" s="16"/>
      <c r="E188" s="17"/>
      <c r="F188" s="14">
        <f>E187*F187</f>
        <v>1667.1380000000001</v>
      </c>
      <c r="G188" s="18">
        <f>E187*G187</f>
        <v>83.995999999999995</v>
      </c>
      <c r="H188" s="14">
        <f>SUM(F188,G188)</f>
        <v>1751.1340000000002</v>
      </c>
      <c r="I188" s="13">
        <f t="shared" si="25"/>
        <v>2073.7529582000002</v>
      </c>
      <c r="J188" s="14">
        <f t="shared" si="26"/>
        <v>104.48262439999999</v>
      </c>
      <c r="K188" s="14">
        <f>J188+I188</f>
        <v>2178.2355826000003</v>
      </c>
    </row>
    <row r="189" spans="1:11" ht="15.75" customHeight="1" x14ac:dyDescent="0.25">
      <c r="A189" s="9" t="s">
        <v>198</v>
      </c>
      <c r="B189" s="9" t="s">
        <v>222</v>
      </c>
      <c r="C189" s="10" t="s">
        <v>223</v>
      </c>
      <c r="D189" s="16" t="s">
        <v>47</v>
      </c>
      <c r="E189" s="17">
        <v>63</v>
      </c>
      <c r="F189" s="14">
        <v>2.4300000000000002</v>
      </c>
      <c r="G189" s="18">
        <v>2.82</v>
      </c>
      <c r="H189" s="14"/>
      <c r="I189" s="13">
        <f t="shared" si="25"/>
        <v>3.0226770000000003</v>
      </c>
      <c r="J189" s="14">
        <f t="shared" si="26"/>
        <v>3.5077979999999997</v>
      </c>
      <c r="K189" s="14"/>
    </row>
    <row r="190" spans="1:11" ht="15.75" customHeight="1" x14ac:dyDescent="0.25">
      <c r="A190" s="9"/>
      <c r="B190" s="9"/>
      <c r="C190" s="10"/>
      <c r="D190" s="16"/>
      <c r="E190" s="17"/>
      <c r="F190" s="14">
        <f>E189*F189</f>
        <v>153.09</v>
      </c>
      <c r="G190" s="18">
        <f>E189*G189</f>
        <v>177.66</v>
      </c>
      <c r="H190" s="14">
        <f>SUM(F190,G190)</f>
        <v>330.75</v>
      </c>
      <c r="I190" s="13">
        <f t="shared" si="25"/>
        <v>190.428651</v>
      </c>
      <c r="J190" s="14">
        <f t="shared" si="26"/>
        <v>220.991274</v>
      </c>
      <c r="K190" s="14">
        <f>J190+I190</f>
        <v>411.41992500000003</v>
      </c>
    </row>
    <row r="191" spans="1:11" ht="15.75" customHeight="1" x14ac:dyDescent="0.25">
      <c r="A191" s="9" t="s">
        <v>787</v>
      </c>
      <c r="B191" s="9" t="s">
        <v>225</v>
      </c>
      <c r="C191" s="10" t="s">
        <v>226</v>
      </c>
      <c r="D191" s="16" t="s">
        <v>47</v>
      </c>
      <c r="E191" s="17">
        <v>39</v>
      </c>
      <c r="F191" s="14">
        <v>5.97</v>
      </c>
      <c r="G191" s="18">
        <v>2</v>
      </c>
      <c r="H191" s="14"/>
      <c r="I191" s="13">
        <f t="shared" si="25"/>
        <v>7.4260829999999993</v>
      </c>
      <c r="J191" s="14">
        <f t="shared" si="26"/>
        <v>2.4878</v>
      </c>
      <c r="K191" s="14"/>
    </row>
    <row r="192" spans="1:11" ht="15.75" customHeight="1" x14ac:dyDescent="0.25">
      <c r="A192" s="9"/>
      <c r="B192" s="9"/>
      <c r="C192" s="10"/>
      <c r="D192" s="16"/>
      <c r="E192" s="17"/>
      <c r="F192" s="14">
        <f>E191*F191</f>
        <v>232.82999999999998</v>
      </c>
      <c r="G192" s="18">
        <f>E191*G191</f>
        <v>78</v>
      </c>
      <c r="H192" s="14">
        <f>SUM(F192,G192)</f>
        <v>310.83</v>
      </c>
      <c r="I192" s="13">
        <f t="shared" si="25"/>
        <v>289.61723699999999</v>
      </c>
      <c r="J192" s="14">
        <f t="shared" si="26"/>
        <v>97.024200000000008</v>
      </c>
      <c r="K192" s="14">
        <f>J192+I192</f>
        <v>386.641437</v>
      </c>
    </row>
    <row r="193" spans="1:11" ht="15.75" customHeight="1" x14ac:dyDescent="0.25">
      <c r="A193" s="9" t="s">
        <v>788</v>
      </c>
      <c r="B193" s="9" t="s">
        <v>228</v>
      </c>
      <c r="C193" s="10" t="s">
        <v>229</v>
      </c>
      <c r="D193" s="16" t="s">
        <v>47</v>
      </c>
      <c r="E193" s="17">
        <v>58</v>
      </c>
      <c r="F193" s="14">
        <v>3.67</v>
      </c>
      <c r="G193" s="18">
        <v>3</v>
      </c>
      <c r="H193" s="14"/>
      <c r="I193" s="13">
        <f t="shared" si="25"/>
        <v>4.5651130000000002</v>
      </c>
      <c r="J193" s="14">
        <f t="shared" si="26"/>
        <v>3.7317</v>
      </c>
      <c r="K193" s="14"/>
    </row>
    <row r="194" spans="1:11" ht="15.75" customHeight="1" x14ac:dyDescent="0.25">
      <c r="A194" s="9"/>
      <c r="B194" s="9"/>
      <c r="C194" s="10"/>
      <c r="D194" s="16"/>
      <c r="E194" s="17"/>
      <c r="F194" s="14">
        <f>E193*F193</f>
        <v>212.85999999999999</v>
      </c>
      <c r="G194" s="18">
        <f>E193*G193</f>
        <v>174</v>
      </c>
      <c r="H194" s="14">
        <f>SUM(F194,G194)</f>
        <v>386.86</v>
      </c>
      <c r="I194" s="13">
        <f t="shared" si="25"/>
        <v>264.77655399999998</v>
      </c>
      <c r="J194" s="14">
        <f t="shared" si="26"/>
        <v>216.43860000000001</v>
      </c>
      <c r="K194" s="14">
        <f>J194+I194</f>
        <v>481.21515399999998</v>
      </c>
    </row>
    <row r="195" spans="1:11" ht="15.75" customHeight="1" x14ac:dyDescent="0.25">
      <c r="A195" s="9" t="s">
        <v>789</v>
      </c>
      <c r="B195" s="9" t="s">
        <v>228</v>
      </c>
      <c r="C195" s="10" t="s">
        <v>231</v>
      </c>
      <c r="D195" s="16" t="s">
        <v>47</v>
      </c>
      <c r="E195" s="17">
        <v>7</v>
      </c>
      <c r="F195" s="14">
        <v>3.67</v>
      </c>
      <c r="G195" s="18">
        <v>3</v>
      </c>
      <c r="H195" s="14"/>
      <c r="I195" s="13">
        <f t="shared" si="25"/>
        <v>4.5651130000000002</v>
      </c>
      <c r="J195" s="14">
        <f t="shared" si="26"/>
        <v>3.7317</v>
      </c>
      <c r="K195" s="14"/>
    </row>
    <row r="196" spans="1:11" ht="15.75" customHeight="1" x14ac:dyDescent="0.25">
      <c r="A196" s="9"/>
      <c r="B196" s="9"/>
      <c r="C196" s="10"/>
      <c r="D196" s="16"/>
      <c r="E196" s="17"/>
      <c r="F196" s="14">
        <f>E195*F195</f>
        <v>25.689999999999998</v>
      </c>
      <c r="G196" s="18">
        <f>E195*G195</f>
        <v>21</v>
      </c>
      <c r="H196" s="14">
        <f>SUM(F196,G196)</f>
        <v>46.69</v>
      </c>
      <c r="I196" s="13">
        <f t="shared" si="25"/>
        <v>31.955790999999998</v>
      </c>
      <c r="J196" s="14">
        <f t="shared" si="26"/>
        <v>26.1219</v>
      </c>
      <c r="K196" s="14">
        <f>J196+I196</f>
        <v>58.077691000000002</v>
      </c>
    </row>
    <row r="197" spans="1:11" ht="15.75" customHeight="1" x14ac:dyDescent="0.25">
      <c r="A197" s="9" t="s">
        <v>790</v>
      </c>
      <c r="B197" s="9" t="s">
        <v>233</v>
      </c>
      <c r="C197" s="10" t="s">
        <v>234</v>
      </c>
      <c r="D197" s="16" t="s">
        <v>47</v>
      </c>
      <c r="E197" s="17">
        <v>8</v>
      </c>
      <c r="F197" s="14">
        <v>5.96</v>
      </c>
      <c r="G197" s="18">
        <v>2.48</v>
      </c>
      <c r="H197" s="14"/>
      <c r="I197" s="13">
        <f t="shared" si="25"/>
        <v>7.4136439999999997</v>
      </c>
      <c r="J197" s="14">
        <f t="shared" si="26"/>
        <v>3.0848719999999998</v>
      </c>
      <c r="K197" s="14"/>
    </row>
    <row r="198" spans="1:11" ht="15.75" customHeight="1" x14ac:dyDescent="0.25">
      <c r="A198" s="9"/>
      <c r="B198" s="9"/>
      <c r="C198" s="10"/>
      <c r="D198" s="16"/>
      <c r="E198" s="17"/>
      <c r="F198" s="14">
        <f>E197*F197</f>
        <v>47.68</v>
      </c>
      <c r="G198" s="18">
        <f>E197*G197</f>
        <v>19.84</v>
      </c>
      <c r="H198" s="14">
        <f>SUM(F198,G198)</f>
        <v>67.52</v>
      </c>
      <c r="I198" s="13">
        <f t="shared" si="25"/>
        <v>59.309151999999997</v>
      </c>
      <c r="J198" s="14">
        <f t="shared" si="26"/>
        <v>24.678975999999999</v>
      </c>
      <c r="K198" s="14">
        <f>J198+I198</f>
        <v>83.988127999999989</v>
      </c>
    </row>
    <row r="199" spans="1:11" ht="15.75" customHeight="1" x14ac:dyDescent="0.25">
      <c r="A199" s="9" t="s">
        <v>791</v>
      </c>
      <c r="B199" s="9" t="s">
        <v>236</v>
      </c>
      <c r="C199" s="10" t="s">
        <v>237</v>
      </c>
      <c r="D199" s="16" t="s">
        <v>47</v>
      </c>
      <c r="E199" s="17">
        <v>23</v>
      </c>
      <c r="F199" s="14">
        <v>5.96</v>
      </c>
      <c r="G199" s="18">
        <v>2.48</v>
      </c>
      <c r="H199" s="14"/>
      <c r="I199" s="13">
        <f t="shared" si="25"/>
        <v>7.4136439999999997</v>
      </c>
      <c r="J199" s="14">
        <f t="shared" si="26"/>
        <v>3.0848719999999998</v>
      </c>
      <c r="K199" s="14"/>
    </row>
    <row r="200" spans="1:11" ht="15.75" customHeight="1" x14ac:dyDescent="0.25">
      <c r="A200" s="9"/>
      <c r="B200" s="9"/>
      <c r="C200" s="10"/>
      <c r="D200" s="16"/>
      <c r="E200" s="17"/>
      <c r="F200" s="14">
        <f>E199*F199</f>
        <v>137.08000000000001</v>
      </c>
      <c r="G200" s="18">
        <f>E199*G199</f>
        <v>57.04</v>
      </c>
      <c r="H200" s="14">
        <f>SUM(F200,G200)</f>
        <v>194.12</v>
      </c>
      <c r="I200" s="13">
        <f t="shared" si="25"/>
        <v>170.51381200000003</v>
      </c>
      <c r="J200" s="14">
        <f t="shared" si="26"/>
        <v>70.952055999999999</v>
      </c>
      <c r="K200" s="14">
        <f>J200+I200</f>
        <v>241.46586800000003</v>
      </c>
    </row>
    <row r="201" spans="1:11" ht="15.75" customHeight="1" x14ac:dyDescent="0.25">
      <c r="A201" s="9" t="s">
        <v>792</v>
      </c>
      <c r="B201" s="9" t="s">
        <v>239</v>
      </c>
      <c r="C201" s="10" t="s">
        <v>240</v>
      </c>
      <c r="D201" s="16" t="s">
        <v>47</v>
      </c>
      <c r="E201" s="17">
        <v>1</v>
      </c>
      <c r="F201" s="14">
        <v>21.57</v>
      </c>
      <c r="G201" s="18">
        <v>3.56</v>
      </c>
      <c r="H201" s="14"/>
      <c r="I201" s="13">
        <f t="shared" si="25"/>
        <v>26.830923000000002</v>
      </c>
      <c r="J201" s="14">
        <f t="shared" si="26"/>
        <v>4.4282839999999997</v>
      </c>
      <c r="K201" s="14"/>
    </row>
    <row r="202" spans="1:11" ht="15.75" customHeight="1" x14ac:dyDescent="0.25">
      <c r="A202" s="9"/>
      <c r="B202" s="9"/>
      <c r="C202" s="10"/>
      <c r="D202" s="16"/>
      <c r="E202" s="17"/>
      <c r="F202" s="14">
        <f>E201*F201</f>
        <v>21.57</v>
      </c>
      <c r="G202" s="18">
        <f>E201*G201</f>
        <v>3.56</v>
      </c>
      <c r="H202" s="14">
        <f>SUM(F202,G202)</f>
        <v>25.13</v>
      </c>
      <c r="I202" s="13">
        <f t="shared" si="25"/>
        <v>26.830923000000002</v>
      </c>
      <c r="J202" s="14">
        <f t="shared" si="26"/>
        <v>4.4282839999999997</v>
      </c>
      <c r="K202" s="14">
        <f>J202+I202</f>
        <v>31.259207000000004</v>
      </c>
    </row>
    <row r="203" spans="1:11" ht="15.75" customHeight="1" x14ac:dyDescent="0.25">
      <c r="A203" s="9" t="s">
        <v>793</v>
      </c>
      <c r="B203" s="9" t="s">
        <v>242</v>
      </c>
      <c r="C203" s="10" t="s">
        <v>243</v>
      </c>
      <c r="D203" s="16" t="s">
        <v>47</v>
      </c>
      <c r="E203" s="17">
        <v>4</v>
      </c>
      <c r="F203" s="14">
        <v>72.040000000000006</v>
      </c>
      <c r="G203" s="18">
        <v>4.3600000000000003</v>
      </c>
      <c r="H203" s="14"/>
      <c r="I203" s="13">
        <f t="shared" si="25"/>
        <v>89.610556000000003</v>
      </c>
      <c r="J203" s="14">
        <f t="shared" si="26"/>
        <v>5.4234040000000006</v>
      </c>
      <c r="K203" s="14"/>
    </row>
    <row r="204" spans="1:11" ht="15.75" customHeight="1" x14ac:dyDescent="0.25">
      <c r="A204" s="9"/>
      <c r="B204" s="9"/>
      <c r="C204" s="10"/>
      <c r="D204" s="16"/>
      <c r="E204" s="17"/>
      <c r="F204" s="14">
        <f>E203*F203</f>
        <v>288.16000000000003</v>
      </c>
      <c r="G204" s="18">
        <f>E203*G203</f>
        <v>17.440000000000001</v>
      </c>
      <c r="H204" s="14">
        <f>SUM(F204,G204)</f>
        <v>305.60000000000002</v>
      </c>
      <c r="I204" s="13">
        <f t="shared" si="25"/>
        <v>358.44222400000001</v>
      </c>
      <c r="J204" s="14">
        <f t="shared" si="26"/>
        <v>21.693616000000002</v>
      </c>
      <c r="K204" s="14">
        <f>J204+I204</f>
        <v>380.13584000000003</v>
      </c>
    </row>
    <row r="205" spans="1:11" ht="15.75" customHeight="1" x14ac:dyDescent="0.25">
      <c r="A205" s="9" t="s">
        <v>794</v>
      </c>
      <c r="B205" s="33" t="s">
        <v>245</v>
      </c>
      <c r="C205" s="27" t="s">
        <v>246</v>
      </c>
      <c r="D205" s="16" t="s">
        <v>47</v>
      </c>
      <c r="E205" s="36">
        <v>8</v>
      </c>
      <c r="F205" s="37">
        <v>8.48</v>
      </c>
      <c r="G205" s="38">
        <v>6.65</v>
      </c>
      <c r="H205" s="14"/>
      <c r="I205" s="13">
        <f t="shared" si="25"/>
        <v>10.548272000000001</v>
      </c>
      <c r="J205" s="14">
        <f t="shared" si="26"/>
        <v>8.2719350000000009</v>
      </c>
      <c r="K205" s="14"/>
    </row>
    <row r="206" spans="1:11" ht="15.75" customHeight="1" x14ac:dyDescent="0.25">
      <c r="A206" s="9"/>
      <c r="B206" s="9"/>
      <c r="C206" s="10"/>
      <c r="D206" s="16"/>
      <c r="E206" s="17"/>
      <c r="F206" s="14">
        <f>E205*F205</f>
        <v>67.84</v>
      </c>
      <c r="G206" s="18">
        <f>E205*G205</f>
        <v>53.2</v>
      </c>
      <c r="H206" s="14">
        <f>SUM(F206,G206)</f>
        <v>121.04</v>
      </c>
      <c r="I206" s="13">
        <f t="shared" si="25"/>
        <v>84.386176000000006</v>
      </c>
      <c r="J206" s="14">
        <f t="shared" si="26"/>
        <v>66.175480000000007</v>
      </c>
      <c r="K206" s="14">
        <f>J206+I206</f>
        <v>150.56165600000003</v>
      </c>
    </row>
    <row r="207" spans="1:11" ht="15.75" customHeight="1" x14ac:dyDescent="0.25">
      <c r="A207" s="9" t="s">
        <v>795</v>
      </c>
      <c r="B207" s="33" t="s">
        <v>248</v>
      </c>
      <c r="C207" s="27" t="s">
        <v>246</v>
      </c>
      <c r="D207" s="16" t="s">
        <v>47</v>
      </c>
      <c r="E207" s="36">
        <v>3</v>
      </c>
      <c r="F207" s="37">
        <v>10.44</v>
      </c>
      <c r="G207" s="38">
        <v>3.31</v>
      </c>
      <c r="H207" s="14"/>
      <c r="I207" s="13">
        <f t="shared" si="25"/>
        <v>12.986315999999999</v>
      </c>
      <c r="J207" s="14">
        <f t="shared" si="26"/>
        <v>4.1173089999999997</v>
      </c>
      <c r="K207" s="14"/>
    </row>
    <row r="208" spans="1:11" ht="15.75" customHeight="1" x14ac:dyDescent="0.25">
      <c r="A208" s="9"/>
      <c r="B208" s="9"/>
      <c r="C208" s="10"/>
      <c r="D208" s="16"/>
      <c r="E208" s="17"/>
      <c r="F208" s="14">
        <f>E207*F207</f>
        <v>31.32</v>
      </c>
      <c r="G208" s="18">
        <f>E207*G207</f>
        <v>9.93</v>
      </c>
      <c r="H208" s="14">
        <f>SUM(F208,G208)</f>
        <v>41.25</v>
      </c>
      <c r="I208" s="13">
        <f t="shared" si="25"/>
        <v>38.958947999999999</v>
      </c>
      <c r="J208" s="14">
        <f t="shared" si="26"/>
        <v>12.351927</v>
      </c>
      <c r="K208" s="14">
        <f>J208+I208</f>
        <v>51.310874999999996</v>
      </c>
    </row>
    <row r="209" spans="1:11" ht="15.75" customHeight="1" x14ac:dyDescent="0.25">
      <c r="A209" s="9" t="s">
        <v>796</v>
      </c>
      <c r="B209" s="33" t="s">
        <v>248</v>
      </c>
      <c r="C209" s="27" t="s">
        <v>250</v>
      </c>
      <c r="D209" s="16" t="s">
        <v>47</v>
      </c>
      <c r="E209" s="36">
        <v>3</v>
      </c>
      <c r="F209" s="37">
        <v>10.44</v>
      </c>
      <c r="G209" s="38">
        <v>3.31</v>
      </c>
      <c r="H209" s="14"/>
      <c r="I209" s="13">
        <f t="shared" ref="I209:I232" si="27">F209*1.2439</f>
        <v>12.986315999999999</v>
      </c>
      <c r="J209" s="14">
        <f t="shared" ref="J209:J232" si="28">G209*1.2439</f>
        <v>4.1173089999999997</v>
      </c>
      <c r="K209" s="14"/>
    </row>
    <row r="210" spans="1:11" ht="15.75" customHeight="1" x14ac:dyDescent="0.25">
      <c r="A210" s="9"/>
      <c r="B210" s="9"/>
      <c r="C210" s="10"/>
      <c r="D210" s="16"/>
      <c r="E210" s="17"/>
      <c r="F210" s="14">
        <f>E209*F209</f>
        <v>31.32</v>
      </c>
      <c r="G210" s="18">
        <f>E209*G209</f>
        <v>9.93</v>
      </c>
      <c r="H210" s="14">
        <f>SUM(F210,G210)</f>
        <v>41.25</v>
      </c>
      <c r="I210" s="13">
        <f t="shared" si="27"/>
        <v>38.958947999999999</v>
      </c>
      <c r="J210" s="14">
        <f t="shared" si="28"/>
        <v>12.351927</v>
      </c>
      <c r="K210" s="14">
        <f>J210+I210</f>
        <v>51.310874999999996</v>
      </c>
    </row>
    <row r="211" spans="1:11" ht="15.75" customHeight="1" x14ac:dyDescent="0.25">
      <c r="A211" s="9" t="s">
        <v>797</v>
      </c>
      <c r="B211" s="33" t="s">
        <v>252</v>
      </c>
      <c r="C211" s="27" t="s">
        <v>253</v>
      </c>
      <c r="D211" s="16" t="s">
        <v>47</v>
      </c>
      <c r="E211" s="36">
        <v>5</v>
      </c>
      <c r="F211" s="37">
        <v>10.91</v>
      </c>
      <c r="G211" s="38">
        <v>4.01</v>
      </c>
      <c r="H211" s="14"/>
      <c r="I211" s="13">
        <f t="shared" si="27"/>
        <v>13.570949000000001</v>
      </c>
      <c r="J211" s="14">
        <f t="shared" si="28"/>
        <v>4.9880389999999997</v>
      </c>
      <c r="K211" s="14"/>
    </row>
    <row r="212" spans="1:11" ht="15.75" customHeight="1" x14ac:dyDescent="0.25">
      <c r="A212" s="9"/>
      <c r="B212" s="9"/>
      <c r="C212" s="10"/>
      <c r="D212" s="16"/>
      <c r="E212" s="17"/>
      <c r="F212" s="14">
        <f>E211*F211</f>
        <v>54.55</v>
      </c>
      <c r="G212" s="18">
        <f>E211*G211</f>
        <v>20.049999999999997</v>
      </c>
      <c r="H212" s="14">
        <f>SUM(F212,G212)</f>
        <v>74.599999999999994</v>
      </c>
      <c r="I212" s="13">
        <f t="shared" si="27"/>
        <v>67.854744999999994</v>
      </c>
      <c r="J212" s="14">
        <f t="shared" si="28"/>
        <v>24.940194999999996</v>
      </c>
      <c r="K212" s="14">
        <f>J212+I212</f>
        <v>92.794939999999997</v>
      </c>
    </row>
    <row r="213" spans="1:11" ht="15.75" customHeight="1" x14ac:dyDescent="0.25">
      <c r="A213" s="9" t="s">
        <v>798</v>
      </c>
      <c r="B213" s="33" t="s">
        <v>255</v>
      </c>
      <c r="C213" s="27" t="s">
        <v>256</v>
      </c>
      <c r="D213" s="16" t="s">
        <v>47</v>
      </c>
      <c r="E213" s="36">
        <v>1</v>
      </c>
      <c r="F213" s="37">
        <v>44.88</v>
      </c>
      <c r="G213" s="38">
        <v>5.81</v>
      </c>
      <c r="H213" s="14"/>
      <c r="I213" s="13">
        <f t="shared" si="27"/>
        <v>55.826232000000005</v>
      </c>
      <c r="J213" s="14">
        <f t="shared" si="28"/>
        <v>7.2270589999999997</v>
      </c>
      <c r="K213" s="14"/>
    </row>
    <row r="214" spans="1:11" ht="15.75" customHeight="1" x14ac:dyDescent="0.25">
      <c r="A214" s="9"/>
      <c r="B214" s="9"/>
      <c r="C214" s="10"/>
      <c r="D214" s="16"/>
      <c r="E214" s="17"/>
      <c r="F214" s="14">
        <f>E213*F213</f>
        <v>44.88</v>
      </c>
      <c r="G214" s="18">
        <f>E213*G213</f>
        <v>5.81</v>
      </c>
      <c r="H214" s="14">
        <f>SUM(F214,G214)</f>
        <v>50.690000000000005</v>
      </c>
      <c r="I214" s="13">
        <f t="shared" si="27"/>
        <v>55.826232000000005</v>
      </c>
      <c r="J214" s="14">
        <f t="shared" si="28"/>
        <v>7.2270589999999997</v>
      </c>
      <c r="K214" s="14">
        <f>J214+I214</f>
        <v>63.053291000000002</v>
      </c>
    </row>
    <row r="215" spans="1:11" ht="15.75" customHeight="1" x14ac:dyDescent="0.25">
      <c r="A215" s="9" t="s">
        <v>799</v>
      </c>
      <c r="B215" s="33" t="s">
        <v>255</v>
      </c>
      <c r="C215" s="27" t="s">
        <v>258</v>
      </c>
      <c r="D215" s="16" t="s">
        <v>47</v>
      </c>
      <c r="E215" s="36">
        <v>9</v>
      </c>
      <c r="F215" s="37">
        <v>44.88</v>
      </c>
      <c r="G215" s="38">
        <v>5.81</v>
      </c>
      <c r="H215" s="14"/>
      <c r="I215" s="13">
        <f t="shared" si="27"/>
        <v>55.826232000000005</v>
      </c>
      <c r="J215" s="14">
        <f t="shared" si="28"/>
        <v>7.2270589999999997</v>
      </c>
      <c r="K215" s="14"/>
    </row>
    <row r="216" spans="1:11" ht="15.75" customHeight="1" x14ac:dyDescent="0.25">
      <c r="A216" s="9"/>
      <c r="B216" s="9"/>
      <c r="C216" s="10"/>
      <c r="D216" s="16"/>
      <c r="E216" s="17"/>
      <c r="F216" s="14">
        <f>E215*F215</f>
        <v>403.92</v>
      </c>
      <c r="G216" s="18">
        <f>E215*G215</f>
        <v>52.29</v>
      </c>
      <c r="H216" s="14">
        <f>SUM(F216,G216)</f>
        <v>456.21000000000004</v>
      </c>
      <c r="I216" s="13">
        <f t="shared" si="27"/>
        <v>502.43608800000004</v>
      </c>
      <c r="J216" s="14">
        <f t="shared" si="28"/>
        <v>65.043531000000002</v>
      </c>
      <c r="K216" s="14">
        <f>J216+I216</f>
        <v>567.47961900000007</v>
      </c>
    </row>
    <row r="217" spans="1:11" ht="30" customHeight="1" x14ac:dyDescent="0.25">
      <c r="A217" s="9" t="s">
        <v>800</v>
      </c>
      <c r="B217" s="33" t="s">
        <v>260</v>
      </c>
      <c r="C217" s="32" t="s">
        <v>261</v>
      </c>
      <c r="D217" s="35" t="s">
        <v>47</v>
      </c>
      <c r="E217" s="30">
        <v>32</v>
      </c>
      <c r="F217" s="39">
        <v>4.1100000000000003</v>
      </c>
      <c r="G217" s="40">
        <v>5.63</v>
      </c>
      <c r="H217" s="31"/>
      <c r="I217" s="13">
        <f t="shared" si="27"/>
        <v>5.1124290000000006</v>
      </c>
      <c r="J217" s="14">
        <f t="shared" si="28"/>
        <v>7.0031569999999999</v>
      </c>
      <c r="K217" s="14"/>
    </row>
    <row r="218" spans="1:11" ht="15.75" customHeight="1" x14ac:dyDescent="0.25">
      <c r="A218" s="9"/>
      <c r="B218" s="9"/>
      <c r="C218" s="10"/>
      <c r="D218" s="16"/>
      <c r="E218" s="17"/>
      <c r="F218" s="14">
        <f>E217*F217</f>
        <v>131.52000000000001</v>
      </c>
      <c r="G218" s="18">
        <f>E217*G217</f>
        <v>180.16</v>
      </c>
      <c r="H218" s="14">
        <f>SUM(F218,G218)</f>
        <v>311.68</v>
      </c>
      <c r="I218" s="13">
        <f t="shared" si="27"/>
        <v>163.59772800000002</v>
      </c>
      <c r="J218" s="14">
        <f t="shared" si="28"/>
        <v>224.101024</v>
      </c>
      <c r="K218" s="14">
        <f>J218+I218</f>
        <v>387.69875200000001</v>
      </c>
    </row>
    <row r="219" spans="1:11" ht="15.75" customHeight="1" x14ac:dyDescent="0.25">
      <c r="A219" s="9" t="s">
        <v>801</v>
      </c>
      <c r="B219" s="33" t="s">
        <v>263</v>
      </c>
      <c r="C219" s="32" t="s">
        <v>264</v>
      </c>
      <c r="D219" s="35" t="s">
        <v>47</v>
      </c>
      <c r="E219" s="30">
        <v>1</v>
      </c>
      <c r="F219" s="39">
        <v>9.7200000000000006</v>
      </c>
      <c r="G219" s="40">
        <v>3.31</v>
      </c>
      <c r="H219" s="31"/>
      <c r="I219" s="13">
        <f t="shared" si="27"/>
        <v>12.090708000000001</v>
      </c>
      <c r="J219" s="14">
        <f t="shared" si="28"/>
        <v>4.1173089999999997</v>
      </c>
      <c r="K219" s="14"/>
    </row>
    <row r="220" spans="1:11" ht="15.75" customHeight="1" x14ac:dyDescent="0.25">
      <c r="A220" s="9"/>
      <c r="B220" s="9"/>
      <c r="C220" s="10"/>
      <c r="D220" s="16"/>
      <c r="E220" s="17"/>
      <c r="F220" s="14">
        <f>E219*F219</f>
        <v>9.7200000000000006</v>
      </c>
      <c r="G220" s="18">
        <f>E219*G219</f>
        <v>3.31</v>
      </c>
      <c r="H220" s="14">
        <f>SUM(F220,G220)</f>
        <v>13.030000000000001</v>
      </c>
      <c r="I220" s="13">
        <f t="shared" si="27"/>
        <v>12.090708000000001</v>
      </c>
      <c r="J220" s="14">
        <f t="shared" si="28"/>
        <v>4.1173089999999997</v>
      </c>
      <c r="K220" s="14">
        <f>J220+I220</f>
        <v>16.208017000000002</v>
      </c>
    </row>
    <row r="221" spans="1:11" ht="15.75" customHeight="1" x14ac:dyDescent="0.25">
      <c r="A221" s="9" t="s">
        <v>802</v>
      </c>
      <c r="B221" s="9" t="s">
        <v>266</v>
      </c>
      <c r="C221" s="10" t="s">
        <v>267</v>
      </c>
      <c r="D221" s="16" t="s">
        <v>47</v>
      </c>
      <c r="E221" s="17">
        <v>5</v>
      </c>
      <c r="F221" s="14">
        <v>11.75</v>
      </c>
      <c r="G221" s="18">
        <v>4.01</v>
      </c>
      <c r="H221" s="14"/>
      <c r="I221" s="13">
        <f t="shared" si="27"/>
        <v>14.615825000000001</v>
      </c>
      <c r="J221" s="14">
        <f t="shared" si="28"/>
        <v>4.9880389999999997</v>
      </c>
      <c r="K221" s="14"/>
    </row>
    <row r="222" spans="1:11" ht="15.75" customHeight="1" x14ac:dyDescent="0.25">
      <c r="A222" s="9"/>
      <c r="B222" s="9"/>
      <c r="C222" s="10"/>
      <c r="D222" s="16"/>
      <c r="E222" s="17"/>
      <c r="F222" s="14">
        <f>E221*F221</f>
        <v>58.75</v>
      </c>
      <c r="G222" s="18">
        <f>E221*G221</f>
        <v>20.049999999999997</v>
      </c>
      <c r="H222" s="14">
        <f>SUM(F222,G222)</f>
        <v>78.8</v>
      </c>
      <c r="I222" s="13">
        <f t="shared" si="27"/>
        <v>73.079125000000005</v>
      </c>
      <c r="J222" s="14">
        <f t="shared" si="28"/>
        <v>24.940194999999996</v>
      </c>
      <c r="K222" s="14">
        <f>J222+I222</f>
        <v>98.019319999999993</v>
      </c>
    </row>
    <row r="223" spans="1:11" ht="15.75" customHeight="1" x14ac:dyDescent="0.25">
      <c r="A223" s="9" t="s">
        <v>803</v>
      </c>
      <c r="B223" s="9" t="s">
        <v>269</v>
      </c>
      <c r="C223" s="10" t="s">
        <v>270</v>
      </c>
      <c r="D223" s="16" t="s">
        <v>47</v>
      </c>
      <c r="E223" s="17">
        <v>2</v>
      </c>
      <c r="F223" s="14">
        <v>52.49</v>
      </c>
      <c r="G223" s="18">
        <v>5.81</v>
      </c>
      <c r="H223" s="14"/>
      <c r="I223" s="13">
        <f t="shared" si="27"/>
        <v>65.292310999999998</v>
      </c>
      <c r="J223" s="14">
        <f t="shared" si="28"/>
        <v>7.2270589999999997</v>
      </c>
      <c r="K223" s="14"/>
    </row>
    <row r="224" spans="1:11" ht="15.75" customHeight="1" x14ac:dyDescent="0.25">
      <c r="A224" s="9"/>
      <c r="B224" s="9"/>
      <c r="C224" s="10"/>
      <c r="D224" s="16"/>
      <c r="E224" s="17"/>
      <c r="F224" s="14">
        <f>E223*F223</f>
        <v>104.98</v>
      </c>
      <c r="G224" s="18">
        <f>E223*G223</f>
        <v>11.62</v>
      </c>
      <c r="H224" s="14">
        <f>SUM(F224,G224)</f>
        <v>116.60000000000001</v>
      </c>
      <c r="I224" s="13">
        <f t="shared" si="27"/>
        <v>130.584622</v>
      </c>
      <c r="J224" s="14">
        <f t="shared" si="28"/>
        <v>14.454117999999999</v>
      </c>
      <c r="K224" s="14">
        <f>J224+I224</f>
        <v>145.03873999999999</v>
      </c>
    </row>
    <row r="225" spans="1:11" ht="15.75" customHeight="1" x14ac:dyDescent="0.25">
      <c r="A225" s="9" t="s">
        <v>804</v>
      </c>
      <c r="B225" s="9" t="s">
        <v>272</v>
      </c>
      <c r="C225" s="10" t="s">
        <v>273</v>
      </c>
      <c r="D225" s="16" t="s">
        <v>47</v>
      </c>
      <c r="E225" s="17">
        <v>9</v>
      </c>
      <c r="F225" s="14">
        <v>78.19</v>
      </c>
      <c r="G225" s="18">
        <v>7.54</v>
      </c>
      <c r="H225" s="14"/>
      <c r="I225" s="13">
        <f t="shared" si="27"/>
        <v>97.260541000000003</v>
      </c>
      <c r="J225" s="14">
        <f t="shared" si="28"/>
        <v>9.3790060000000004</v>
      </c>
      <c r="K225" s="14"/>
    </row>
    <row r="226" spans="1:11" ht="15.75" customHeight="1" x14ac:dyDescent="0.25">
      <c r="A226" s="9"/>
      <c r="B226" s="9"/>
      <c r="C226" s="10"/>
      <c r="D226" s="16"/>
      <c r="E226" s="17"/>
      <c r="F226" s="14">
        <f>E225*F225</f>
        <v>703.71</v>
      </c>
      <c r="G226" s="18">
        <f>E225*G225</f>
        <v>67.86</v>
      </c>
      <c r="H226" s="14">
        <f>SUM(F226,G226)</f>
        <v>771.57</v>
      </c>
      <c r="I226" s="13">
        <f t="shared" si="27"/>
        <v>875.34486900000002</v>
      </c>
      <c r="J226" s="14">
        <f t="shared" si="28"/>
        <v>84.411053999999993</v>
      </c>
      <c r="K226" s="14">
        <f>J226+I226</f>
        <v>959.75592300000005</v>
      </c>
    </row>
    <row r="227" spans="1:11" ht="15.75" customHeight="1" x14ac:dyDescent="0.25">
      <c r="A227" s="9" t="s">
        <v>805</v>
      </c>
      <c r="B227" s="9" t="s">
        <v>275</v>
      </c>
      <c r="C227" s="10" t="s">
        <v>276</v>
      </c>
      <c r="D227" s="16" t="s">
        <v>47</v>
      </c>
      <c r="E227" s="17">
        <v>34</v>
      </c>
      <c r="F227" s="14">
        <v>37.29</v>
      </c>
      <c r="G227" s="18">
        <v>10.38</v>
      </c>
      <c r="H227" s="14"/>
      <c r="I227" s="13">
        <f t="shared" si="27"/>
        <v>46.385030999999998</v>
      </c>
      <c r="J227" s="14">
        <f t="shared" si="28"/>
        <v>12.911682000000001</v>
      </c>
      <c r="K227" s="14"/>
    </row>
    <row r="228" spans="1:11" ht="15.75" customHeight="1" x14ac:dyDescent="0.25">
      <c r="A228" s="9"/>
      <c r="B228" s="9"/>
      <c r="C228" s="10"/>
      <c r="D228" s="16"/>
      <c r="E228" s="17"/>
      <c r="F228" s="14">
        <f>E227*F227</f>
        <v>1267.8599999999999</v>
      </c>
      <c r="G228" s="18">
        <f>E227*G227</f>
        <v>352.92</v>
      </c>
      <c r="H228" s="14">
        <f>SUM(F228,G228)</f>
        <v>1620.78</v>
      </c>
      <c r="I228" s="13">
        <f t="shared" si="27"/>
        <v>1577.091054</v>
      </c>
      <c r="J228" s="14">
        <f t="shared" si="28"/>
        <v>438.99718799999999</v>
      </c>
      <c r="K228" s="14">
        <f>J228+I228</f>
        <v>2016.088242</v>
      </c>
    </row>
    <row r="229" spans="1:11" ht="15.75" customHeight="1" x14ac:dyDescent="0.25">
      <c r="A229" s="9" t="s">
        <v>806</v>
      </c>
      <c r="B229" s="9" t="s">
        <v>48</v>
      </c>
      <c r="C229" s="28" t="s">
        <v>278</v>
      </c>
      <c r="D229" s="16" t="s">
        <v>47</v>
      </c>
      <c r="E229" s="30">
        <v>1</v>
      </c>
      <c r="F229" s="39">
        <f>29129.44*0.9</f>
        <v>26216.495999999999</v>
      </c>
      <c r="G229" s="39">
        <f>29129.44*0.1</f>
        <v>2912.944</v>
      </c>
      <c r="H229" s="31"/>
      <c r="I229" s="13">
        <f t="shared" si="27"/>
        <v>32610.699374399999</v>
      </c>
      <c r="J229" s="14">
        <f t="shared" si="28"/>
        <v>3623.4110415999999</v>
      </c>
      <c r="K229" s="14"/>
    </row>
    <row r="230" spans="1:11" ht="15.75" customHeight="1" x14ac:dyDescent="0.25">
      <c r="A230" s="9"/>
      <c r="B230" s="9"/>
      <c r="C230" s="10"/>
      <c r="D230" s="16"/>
      <c r="E230" s="17"/>
      <c r="F230" s="14">
        <f>E229*F229</f>
        <v>26216.495999999999</v>
      </c>
      <c r="G230" s="18">
        <f>E229*G229</f>
        <v>2912.944</v>
      </c>
      <c r="H230" s="14">
        <f>SUM(F230,G230)</f>
        <v>29129.439999999999</v>
      </c>
      <c r="I230" s="13">
        <f t="shared" si="27"/>
        <v>32610.699374399999</v>
      </c>
      <c r="J230" s="14">
        <f t="shared" si="28"/>
        <v>3623.4110415999999</v>
      </c>
      <c r="K230" s="14">
        <f>J230+I230</f>
        <v>36234.110415999996</v>
      </c>
    </row>
    <row r="231" spans="1:11" ht="15.75" customHeight="1" x14ac:dyDescent="0.25">
      <c r="A231" s="9" t="s">
        <v>807</v>
      </c>
      <c r="B231" s="9" t="s">
        <v>48</v>
      </c>
      <c r="C231" s="28" t="s">
        <v>280</v>
      </c>
      <c r="D231" s="16" t="s">
        <v>47</v>
      </c>
      <c r="E231" s="30">
        <v>1</v>
      </c>
      <c r="F231" s="31">
        <f>962.88*0.8</f>
        <v>770.30400000000009</v>
      </c>
      <c r="G231" s="31">
        <f>962.88*0.2</f>
        <v>192.57600000000002</v>
      </c>
      <c r="H231" s="31"/>
      <c r="I231" s="13">
        <f t="shared" si="27"/>
        <v>958.18114560000015</v>
      </c>
      <c r="J231" s="14">
        <f t="shared" si="28"/>
        <v>239.54528640000004</v>
      </c>
      <c r="K231" s="14"/>
    </row>
    <row r="232" spans="1:11" ht="15.75" customHeight="1" x14ac:dyDescent="0.25">
      <c r="A232" s="9"/>
      <c r="B232" s="9"/>
      <c r="C232" s="10"/>
      <c r="D232" s="16"/>
      <c r="E232" s="17"/>
      <c r="F232" s="14">
        <f>E231*F231</f>
        <v>770.30400000000009</v>
      </c>
      <c r="G232" s="18">
        <f>E231*G231</f>
        <v>192.57600000000002</v>
      </c>
      <c r="H232" s="14">
        <f>SUM(F232,G232)</f>
        <v>962.88000000000011</v>
      </c>
      <c r="I232" s="13">
        <f t="shared" si="27"/>
        <v>958.18114560000015</v>
      </c>
      <c r="J232" s="14">
        <f t="shared" si="28"/>
        <v>239.54528640000004</v>
      </c>
      <c r="K232" s="14">
        <f>J232+I232</f>
        <v>1197.7264320000002</v>
      </c>
    </row>
    <row r="233" spans="1:11" ht="15.75" customHeight="1" x14ac:dyDescent="0.25">
      <c r="A233" s="9"/>
      <c r="B233" s="9"/>
      <c r="C233" s="10"/>
      <c r="D233" s="16"/>
      <c r="E233" s="17"/>
      <c r="F233" s="14"/>
      <c r="G233" s="18"/>
      <c r="H233" s="14"/>
      <c r="I233" s="14"/>
      <c r="J233" s="18"/>
      <c r="K233" s="14"/>
    </row>
    <row r="234" spans="1:11" ht="15.75" customHeight="1" x14ac:dyDescent="0.25">
      <c r="A234" s="9"/>
      <c r="B234" s="9"/>
      <c r="C234" s="21" t="s">
        <v>281</v>
      </c>
      <c r="D234" s="16"/>
      <c r="E234" s="17"/>
      <c r="F234" s="14">
        <f t="shared" ref="F234:J234" si="29">F232+F230+F228+F226+F224+F222+F220+F218+F216+F214+F212+F210+F208+F206+F204+F202+F200+F198+F196+F194+F192+F190+F188+F186+F184+F182+F180+F178</f>
        <v>35568.986499999999</v>
      </c>
      <c r="G234" s="14">
        <f t="shared" si="29"/>
        <v>5132.7014999999992</v>
      </c>
      <c r="H234" s="14">
        <f>SUM(F234,G234)</f>
        <v>40701.687999999995</v>
      </c>
      <c r="I234" s="14">
        <f t="shared" si="29"/>
        <v>44244.262307349993</v>
      </c>
      <c r="J234" s="14">
        <f t="shared" si="29"/>
        <v>6384.5673958499974</v>
      </c>
      <c r="K234" s="14">
        <f>SUM(I234,J234)</f>
        <v>50628.82970319999</v>
      </c>
    </row>
    <row r="235" spans="1:11" ht="15.75" customHeight="1" x14ac:dyDescent="0.25">
      <c r="A235" s="9"/>
      <c r="B235" s="9"/>
      <c r="C235" s="10"/>
      <c r="D235" s="16"/>
      <c r="E235" s="17"/>
      <c r="F235" s="14"/>
      <c r="G235" s="18"/>
      <c r="H235" s="14"/>
      <c r="I235" s="14"/>
      <c r="J235" s="18"/>
      <c r="K235" s="14"/>
    </row>
    <row r="236" spans="1:11" ht="15.75" customHeight="1" x14ac:dyDescent="0.25">
      <c r="A236" s="3" t="s">
        <v>201</v>
      </c>
      <c r="B236" s="3"/>
      <c r="C236" s="34" t="s">
        <v>283</v>
      </c>
      <c r="D236" s="24"/>
      <c r="E236" s="22"/>
      <c r="F236" s="8"/>
      <c r="G236" s="23"/>
      <c r="H236" s="8"/>
      <c r="I236" s="8"/>
      <c r="J236" s="23"/>
      <c r="K236" s="8"/>
    </row>
    <row r="237" spans="1:11" ht="15.75" customHeight="1" x14ac:dyDescent="0.25">
      <c r="A237" s="9" t="s">
        <v>203</v>
      </c>
      <c r="B237" s="9" t="s">
        <v>285</v>
      </c>
      <c r="C237" s="10" t="s">
        <v>286</v>
      </c>
      <c r="D237" s="11" t="s">
        <v>24</v>
      </c>
      <c r="E237" s="17">
        <v>119.4</v>
      </c>
      <c r="F237" s="14">
        <v>6.6</v>
      </c>
      <c r="G237" s="18">
        <v>8.3800000000000008</v>
      </c>
      <c r="H237" s="14"/>
      <c r="I237" s="13">
        <f t="shared" ref="I237:I268" si="30">F237*1.2439</f>
        <v>8.20974</v>
      </c>
      <c r="J237" s="14">
        <f t="shared" ref="J237:J268" si="31">G237*1.2439</f>
        <v>10.423882000000001</v>
      </c>
      <c r="K237" s="14"/>
    </row>
    <row r="238" spans="1:11" ht="15.75" customHeight="1" x14ac:dyDescent="0.25">
      <c r="A238" s="9"/>
      <c r="B238" s="9"/>
      <c r="C238" s="21"/>
      <c r="D238" s="16"/>
      <c r="E238" s="17"/>
      <c r="F238" s="14">
        <f>E237*F237</f>
        <v>788.04</v>
      </c>
      <c r="G238" s="18">
        <f>E237*G237</f>
        <v>1000.5720000000001</v>
      </c>
      <c r="H238" s="14">
        <f>SUM(F238,G238)</f>
        <v>1788.6120000000001</v>
      </c>
      <c r="I238" s="13">
        <f t="shared" si="30"/>
        <v>980.24295599999994</v>
      </c>
      <c r="J238" s="14">
        <f t="shared" si="31"/>
        <v>1244.6115108000001</v>
      </c>
      <c r="K238" s="14">
        <f>J238+I238</f>
        <v>2224.8544668</v>
      </c>
    </row>
    <row r="239" spans="1:11" ht="15.75" customHeight="1" x14ac:dyDescent="0.25">
      <c r="A239" s="9" t="s">
        <v>206</v>
      </c>
      <c r="B239" s="9" t="s">
        <v>48</v>
      </c>
      <c r="C239" s="28" t="s">
        <v>288</v>
      </c>
      <c r="D239" s="29" t="s">
        <v>24</v>
      </c>
      <c r="E239" s="30">
        <v>90</v>
      </c>
      <c r="F239" s="31">
        <f>16.43*0.8</f>
        <v>13.144</v>
      </c>
      <c r="G239" s="31">
        <f>16.43*0.2</f>
        <v>3.286</v>
      </c>
      <c r="H239" s="31"/>
      <c r="I239" s="13">
        <f t="shared" si="30"/>
        <v>16.349821599999999</v>
      </c>
      <c r="J239" s="14">
        <f t="shared" si="31"/>
        <v>4.0874553999999996</v>
      </c>
      <c r="K239" s="14"/>
    </row>
    <row r="240" spans="1:11" ht="15.75" customHeight="1" x14ac:dyDescent="0.25">
      <c r="A240" s="9"/>
      <c r="B240" s="9"/>
      <c r="C240" s="21"/>
      <c r="D240" s="16"/>
      <c r="E240" s="17"/>
      <c r="F240" s="14">
        <f>E239*F239</f>
        <v>1182.96</v>
      </c>
      <c r="G240" s="18">
        <f>E239*G239</f>
        <v>295.74</v>
      </c>
      <c r="H240" s="14">
        <f>SUM(F240,G240)</f>
        <v>1478.7</v>
      </c>
      <c r="I240" s="13">
        <f t="shared" si="30"/>
        <v>1471.4839440000001</v>
      </c>
      <c r="J240" s="14">
        <f t="shared" si="31"/>
        <v>367.87098600000002</v>
      </c>
      <c r="K240" s="14">
        <f>J240+I240</f>
        <v>1839.35493</v>
      </c>
    </row>
    <row r="241" spans="1:11" ht="15.75" customHeight="1" x14ac:dyDescent="0.25">
      <c r="A241" s="9" t="s">
        <v>209</v>
      </c>
      <c r="B241" s="9" t="s">
        <v>48</v>
      </c>
      <c r="C241" s="28" t="s">
        <v>290</v>
      </c>
      <c r="D241" s="29" t="s">
        <v>24</v>
      </c>
      <c r="E241" s="30">
        <v>112.5</v>
      </c>
      <c r="F241" s="31">
        <f>21.61*0.8</f>
        <v>17.288</v>
      </c>
      <c r="G241" s="31">
        <f>21.61*0.2</f>
        <v>4.3220000000000001</v>
      </c>
      <c r="H241" s="31"/>
      <c r="I241" s="13">
        <f t="shared" si="30"/>
        <v>21.504543200000001</v>
      </c>
      <c r="J241" s="14">
        <f t="shared" si="31"/>
        <v>5.3761358000000001</v>
      </c>
      <c r="K241" s="14"/>
    </row>
    <row r="242" spans="1:11" ht="15.75" customHeight="1" x14ac:dyDescent="0.25">
      <c r="A242" s="9"/>
      <c r="B242" s="9"/>
      <c r="C242" s="21"/>
      <c r="D242" s="16"/>
      <c r="E242" s="17"/>
      <c r="F242" s="14">
        <f>E241*F241</f>
        <v>1944.9</v>
      </c>
      <c r="G242" s="18">
        <f>E241*G241</f>
        <v>486.22500000000002</v>
      </c>
      <c r="H242" s="14">
        <f>SUM(F242,G242)</f>
        <v>2431.125</v>
      </c>
      <c r="I242" s="13">
        <f t="shared" si="30"/>
        <v>2419.2611099999999</v>
      </c>
      <c r="J242" s="14">
        <f t="shared" si="31"/>
        <v>604.81527749999998</v>
      </c>
      <c r="K242" s="14">
        <f>J242+I242</f>
        <v>3024.0763874999998</v>
      </c>
    </row>
    <row r="243" spans="1:11" ht="15.75" customHeight="1" x14ac:dyDescent="0.25">
      <c r="A243" s="9" t="s">
        <v>212</v>
      </c>
      <c r="B243" s="9" t="s">
        <v>48</v>
      </c>
      <c r="C243" s="28" t="s">
        <v>292</v>
      </c>
      <c r="D243" s="29" t="s">
        <v>24</v>
      </c>
      <c r="E243" s="30">
        <v>358.6</v>
      </c>
      <c r="F243" s="31">
        <f>29.37*0.8</f>
        <v>23.496000000000002</v>
      </c>
      <c r="G243" s="31">
        <f>29.37*0.2</f>
        <v>5.8740000000000006</v>
      </c>
      <c r="H243" s="31"/>
      <c r="I243" s="13">
        <f t="shared" si="30"/>
        <v>29.226674400000004</v>
      </c>
      <c r="J243" s="14">
        <f t="shared" si="31"/>
        <v>7.306668600000001</v>
      </c>
      <c r="K243" s="14"/>
    </row>
    <row r="244" spans="1:11" ht="15.75" customHeight="1" x14ac:dyDescent="0.25">
      <c r="A244" s="9"/>
      <c r="B244" s="9"/>
      <c r="C244" s="21"/>
      <c r="D244" s="16"/>
      <c r="E244" s="17"/>
      <c r="F244" s="14">
        <f>E243*F243</f>
        <v>8425.6656000000021</v>
      </c>
      <c r="G244" s="18">
        <f>E243*G243</f>
        <v>2106.4164000000005</v>
      </c>
      <c r="H244" s="14">
        <f>SUM(F244,G244)</f>
        <v>10532.082000000002</v>
      </c>
      <c r="I244" s="13">
        <f t="shared" si="30"/>
        <v>10480.685439840003</v>
      </c>
      <c r="J244" s="14">
        <f t="shared" si="31"/>
        <v>2620.1713599600007</v>
      </c>
      <c r="K244" s="14">
        <f>J244+I244</f>
        <v>13100.856799800004</v>
      </c>
    </row>
    <row r="245" spans="1:11" ht="15.75" customHeight="1" x14ac:dyDescent="0.25">
      <c r="A245" s="9" t="s">
        <v>215</v>
      </c>
      <c r="B245" s="9" t="s">
        <v>294</v>
      </c>
      <c r="C245" s="10" t="s">
        <v>295</v>
      </c>
      <c r="D245" s="11" t="s">
        <v>24</v>
      </c>
      <c r="E245" s="17">
        <v>53</v>
      </c>
      <c r="F245" s="14">
        <v>3.59</v>
      </c>
      <c r="G245" s="18">
        <v>1.66</v>
      </c>
      <c r="H245" s="14"/>
      <c r="I245" s="13">
        <f t="shared" si="30"/>
        <v>4.4656009999999995</v>
      </c>
      <c r="J245" s="14">
        <f t="shared" si="31"/>
        <v>2.0648740000000001</v>
      </c>
      <c r="K245" s="14"/>
    </row>
    <row r="246" spans="1:11" ht="15.75" customHeight="1" x14ac:dyDescent="0.25">
      <c r="A246" s="9"/>
      <c r="B246" s="9"/>
      <c r="C246" s="21"/>
      <c r="D246" s="16"/>
      <c r="E246" s="17"/>
      <c r="F246" s="14">
        <f>E245*F245</f>
        <v>190.26999999999998</v>
      </c>
      <c r="G246" s="18">
        <f>E245*G245</f>
        <v>87.97999999999999</v>
      </c>
      <c r="H246" s="14">
        <f>SUM(F246,G246)</f>
        <v>278.25</v>
      </c>
      <c r="I246" s="13">
        <f t="shared" si="30"/>
        <v>236.67685299999997</v>
      </c>
      <c r="J246" s="14">
        <f t="shared" si="31"/>
        <v>109.43832199999999</v>
      </c>
      <c r="K246" s="14">
        <f>J246+I246</f>
        <v>346.11517499999997</v>
      </c>
    </row>
    <row r="247" spans="1:11" ht="15.75" customHeight="1" x14ac:dyDescent="0.25">
      <c r="A247" s="9" t="s">
        <v>218</v>
      </c>
      <c r="B247" s="9" t="s">
        <v>297</v>
      </c>
      <c r="C247" s="10" t="s">
        <v>298</v>
      </c>
      <c r="D247" s="11" t="s">
        <v>24</v>
      </c>
      <c r="E247" s="17">
        <v>45</v>
      </c>
      <c r="F247" s="14">
        <v>68.3</v>
      </c>
      <c r="G247" s="18">
        <v>4.28</v>
      </c>
      <c r="H247" s="14"/>
      <c r="I247" s="13">
        <f t="shared" si="30"/>
        <v>84.958370000000002</v>
      </c>
      <c r="J247" s="14">
        <f t="shared" si="31"/>
        <v>5.3238920000000007</v>
      </c>
      <c r="K247" s="14"/>
    </row>
    <row r="248" spans="1:11" ht="15.75" customHeight="1" x14ac:dyDescent="0.25">
      <c r="A248" s="9"/>
      <c r="B248" s="9"/>
      <c r="C248" s="21"/>
      <c r="D248" s="16"/>
      <c r="E248" s="17"/>
      <c r="F248" s="14">
        <f>E247*F247</f>
        <v>3073.5</v>
      </c>
      <c r="G248" s="18">
        <f>E247*G247</f>
        <v>192.60000000000002</v>
      </c>
      <c r="H248" s="14">
        <f>SUM(F248,G248)</f>
        <v>3266.1</v>
      </c>
      <c r="I248" s="13">
        <f t="shared" si="30"/>
        <v>3823.1266500000002</v>
      </c>
      <c r="J248" s="14">
        <f t="shared" si="31"/>
        <v>239.57514000000003</v>
      </c>
      <c r="K248" s="14">
        <f>J248+I248</f>
        <v>4062.7017900000001</v>
      </c>
    </row>
    <row r="249" spans="1:11" ht="15.75" customHeight="1" x14ac:dyDescent="0.25">
      <c r="A249" s="9" t="s">
        <v>221</v>
      </c>
      <c r="B249" s="9" t="s">
        <v>300</v>
      </c>
      <c r="C249" s="10" t="s">
        <v>301</v>
      </c>
      <c r="D249" s="11" t="s">
        <v>24</v>
      </c>
      <c r="E249" s="17">
        <v>33</v>
      </c>
      <c r="F249" s="14">
        <v>115.52</v>
      </c>
      <c r="G249" s="18">
        <v>4.71</v>
      </c>
      <c r="H249" s="14"/>
      <c r="I249" s="13">
        <f t="shared" si="30"/>
        <v>143.69532799999999</v>
      </c>
      <c r="J249" s="14">
        <f t="shared" si="31"/>
        <v>5.8587689999999997</v>
      </c>
      <c r="K249" s="14"/>
    </row>
    <row r="250" spans="1:11" ht="15.75" customHeight="1" x14ac:dyDescent="0.25">
      <c r="A250" s="9"/>
      <c r="B250" s="9"/>
      <c r="C250" s="21"/>
      <c r="D250" s="16"/>
      <c r="E250" s="17"/>
      <c r="F250" s="14">
        <f>E249*F249</f>
        <v>3812.16</v>
      </c>
      <c r="G250" s="18">
        <f>E249*G249</f>
        <v>155.43</v>
      </c>
      <c r="H250" s="14">
        <f>SUM(F250,G250)</f>
        <v>3967.5899999999997</v>
      </c>
      <c r="I250" s="13">
        <f t="shared" si="30"/>
        <v>4741.9458239999994</v>
      </c>
      <c r="J250" s="14">
        <f t="shared" si="31"/>
        <v>193.33937700000001</v>
      </c>
      <c r="K250" s="14">
        <f>J250+I250</f>
        <v>4935.2852009999997</v>
      </c>
    </row>
    <row r="251" spans="1:11" ht="15.75" customHeight="1" x14ac:dyDescent="0.25">
      <c r="A251" s="9" t="s">
        <v>224</v>
      </c>
      <c r="B251" s="9" t="s">
        <v>303</v>
      </c>
      <c r="C251" s="10" t="s">
        <v>304</v>
      </c>
      <c r="D251" s="11" t="s">
        <v>24</v>
      </c>
      <c r="E251" s="17">
        <v>60</v>
      </c>
      <c r="F251" s="14">
        <v>185.66</v>
      </c>
      <c r="G251" s="18">
        <v>5.14</v>
      </c>
      <c r="H251" s="14"/>
      <c r="I251" s="13">
        <f t="shared" si="30"/>
        <v>230.942474</v>
      </c>
      <c r="J251" s="14">
        <f t="shared" si="31"/>
        <v>6.3936459999999995</v>
      </c>
      <c r="K251" s="14"/>
    </row>
    <row r="252" spans="1:11" ht="15.75" customHeight="1" x14ac:dyDescent="0.25">
      <c r="A252" s="9"/>
      <c r="B252" s="9"/>
      <c r="C252" s="21"/>
      <c r="D252" s="16"/>
      <c r="E252" s="17"/>
      <c r="F252" s="14">
        <f>E251*F251</f>
        <v>11139.6</v>
      </c>
      <c r="G252" s="18">
        <f>E251*G251</f>
        <v>308.39999999999998</v>
      </c>
      <c r="H252" s="14">
        <f>SUM(F252,G252)</f>
        <v>11448</v>
      </c>
      <c r="I252" s="13">
        <f t="shared" si="30"/>
        <v>13856.54844</v>
      </c>
      <c r="J252" s="14">
        <f t="shared" si="31"/>
        <v>383.61875999999995</v>
      </c>
      <c r="K252" s="14">
        <f>J252+I252</f>
        <v>14240.1672</v>
      </c>
    </row>
    <row r="253" spans="1:11" ht="15.75" customHeight="1" x14ac:dyDescent="0.25">
      <c r="A253" s="9" t="s">
        <v>227</v>
      </c>
      <c r="B253" s="9" t="s">
        <v>306</v>
      </c>
      <c r="C253" s="10" t="s">
        <v>307</v>
      </c>
      <c r="D253" s="11" t="s">
        <v>47</v>
      </c>
      <c r="E253" s="17">
        <v>26</v>
      </c>
      <c r="F253" s="14">
        <v>2.92</v>
      </c>
      <c r="G253" s="18">
        <v>2.8</v>
      </c>
      <c r="H253" s="14"/>
      <c r="I253" s="13">
        <f t="shared" si="30"/>
        <v>3.6321879999999998</v>
      </c>
      <c r="J253" s="14">
        <f t="shared" si="31"/>
        <v>3.48292</v>
      </c>
      <c r="K253" s="14"/>
    </row>
    <row r="254" spans="1:11" ht="15.75" customHeight="1" x14ac:dyDescent="0.25">
      <c r="A254" s="9"/>
      <c r="B254" s="9"/>
      <c r="C254" s="21"/>
      <c r="D254" s="16"/>
      <c r="E254" s="17"/>
      <c r="F254" s="14">
        <f>E253*F253</f>
        <v>75.92</v>
      </c>
      <c r="G254" s="18">
        <f>E253*G253</f>
        <v>72.8</v>
      </c>
      <c r="H254" s="14">
        <f>SUM(F254,G254)</f>
        <v>148.72</v>
      </c>
      <c r="I254" s="13">
        <f t="shared" si="30"/>
        <v>94.436887999999996</v>
      </c>
      <c r="J254" s="14">
        <f t="shared" si="31"/>
        <v>90.55592</v>
      </c>
      <c r="K254" s="14">
        <f>J254+I254</f>
        <v>184.992808</v>
      </c>
    </row>
    <row r="255" spans="1:11" ht="15.75" customHeight="1" x14ac:dyDescent="0.25">
      <c r="A255" s="9" t="s">
        <v>230</v>
      </c>
      <c r="B255" s="9" t="s">
        <v>309</v>
      </c>
      <c r="C255" s="10" t="s">
        <v>310</v>
      </c>
      <c r="D255" s="11" t="s">
        <v>47</v>
      </c>
      <c r="E255" s="17">
        <v>14</v>
      </c>
      <c r="F255" s="14">
        <v>5.01</v>
      </c>
      <c r="G255" s="18">
        <v>3.63</v>
      </c>
      <c r="H255" s="14"/>
      <c r="I255" s="13">
        <f t="shared" si="30"/>
        <v>6.2319389999999997</v>
      </c>
      <c r="J255" s="14">
        <f t="shared" si="31"/>
        <v>4.5153569999999998</v>
      </c>
      <c r="K255" s="14"/>
    </row>
    <row r="256" spans="1:11" ht="15.75" customHeight="1" x14ac:dyDescent="0.25">
      <c r="A256" s="9"/>
      <c r="B256" s="9"/>
      <c r="C256" s="21"/>
      <c r="D256" s="16"/>
      <c r="E256" s="17"/>
      <c r="F256" s="14">
        <f>E255*F255</f>
        <v>70.14</v>
      </c>
      <c r="G256" s="18">
        <f>E255*G255</f>
        <v>50.82</v>
      </c>
      <c r="H256" s="14">
        <f>SUM(F256,G256)</f>
        <v>120.96000000000001</v>
      </c>
      <c r="I256" s="13">
        <f t="shared" si="30"/>
        <v>87.247146000000001</v>
      </c>
      <c r="J256" s="14">
        <f t="shared" si="31"/>
        <v>63.214998000000001</v>
      </c>
      <c r="K256" s="14">
        <f>J256+I256</f>
        <v>150.462144</v>
      </c>
    </row>
    <row r="257" spans="1:11" ht="15.75" customHeight="1" x14ac:dyDescent="0.25">
      <c r="A257" s="9" t="s">
        <v>232</v>
      </c>
      <c r="B257" s="9" t="s">
        <v>312</v>
      </c>
      <c r="C257" s="10" t="s">
        <v>313</v>
      </c>
      <c r="D257" s="11" t="s">
        <v>47</v>
      </c>
      <c r="E257" s="17">
        <v>2</v>
      </c>
      <c r="F257" s="14">
        <v>9.06</v>
      </c>
      <c r="G257" s="18">
        <v>5.32</v>
      </c>
      <c r="H257" s="14"/>
      <c r="I257" s="13">
        <f t="shared" si="30"/>
        <v>11.269734000000001</v>
      </c>
      <c r="J257" s="14">
        <f t="shared" si="31"/>
        <v>6.6175480000000002</v>
      </c>
      <c r="K257" s="14"/>
    </row>
    <row r="258" spans="1:11" ht="15.75" customHeight="1" x14ac:dyDescent="0.25">
      <c r="A258" s="9"/>
      <c r="B258" s="9"/>
      <c r="C258" s="21"/>
      <c r="D258" s="16"/>
      <c r="E258" s="17"/>
      <c r="F258" s="14">
        <f>E257*F257</f>
        <v>18.12</v>
      </c>
      <c r="G258" s="18">
        <f>E257*G257</f>
        <v>10.64</v>
      </c>
      <c r="H258" s="14">
        <f>SUM(F258,G258)</f>
        <v>28.76</v>
      </c>
      <c r="I258" s="13">
        <f t="shared" si="30"/>
        <v>22.539468000000003</v>
      </c>
      <c r="J258" s="14">
        <f t="shared" si="31"/>
        <v>13.235096</v>
      </c>
      <c r="K258" s="14">
        <f>J258+I258</f>
        <v>35.774564000000005</v>
      </c>
    </row>
    <row r="259" spans="1:11" ht="15.75" customHeight="1" x14ac:dyDescent="0.25">
      <c r="A259" s="9" t="s">
        <v>235</v>
      </c>
      <c r="B259" s="9" t="s">
        <v>315</v>
      </c>
      <c r="C259" s="10" t="s">
        <v>316</v>
      </c>
      <c r="D259" s="11" t="s">
        <v>47</v>
      </c>
      <c r="E259" s="17">
        <v>70</v>
      </c>
      <c r="F259" s="14">
        <v>4.5599999999999996</v>
      </c>
      <c r="G259" s="18">
        <v>2.8</v>
      </c>
      <c r="H259" s="14"/>
      <c r="I259" s="13">
        <f t="shared" si="30"/>
        <v>5.6721839999999997</v>
      </c>
      <c r="J259" s="14">
        <f t="shared" si="31"/>
        <v>3.48292</v>
      </c>
      <c r="K259" s="14"/>
    </row>
    <row r="260" spans="1:11" ht="15.75" customHeight="1" x14ac:dyDescent="0.25">
      <c r="A260" s="9"/>
      <c r="B260" s="9"/>
      <c r="C260" s="21"/>
      <c r="D260" s="16"/>
      <c r="E260" s="17"/>
      <c r="F260" s="14">
        <f>E259*F259</f>
        <v>319.2</v>
      </c>
      <c r="G260" s="18">
        <f>E259*G259</f>
        <v>196</v>
      </c>
      <c r="H260" s="14">
        <f>SUM(F260,G260)</f>
        <v>515.20000000000005</v>
      </c>
      <c r="I260" s="13">
        <f t="shared" si="30"/>
        <v>397.05288000000002</v>
      </c>
      <c r="J260" s="14">
        <f t="shared" si="31"/>
        <v>243.80439999999999</v>
      </c>
      <c r="K260" s="14">
        <f>J260+I260</f>
        <v>640.85727999999995</v>
      </c>
    </row>
    <row r="261" spans="1:11" ht="15.75" customHeight="1" x14ac:dyDescent="0.25">
      <c r="A261" s="9" t="s">
        <v>238</v>
      </c>
      <c r="B261" s="9" t="s">
        <v>318</v>
      </c>
      <c r="C261" s="10" t="s">
        <v>319</v>
      </c>
      <c r="D261" s="11" t="s">
        <v>47</v>
      </c>
      <c r="E261" s="17">
        <v>36</v>
      </c>
      <c r="F261" s="14">
        <v>3.76</v>
      </c>
      <c r="G261" s="18">
        <v>1.1000000000000001</v>
      </c>
      <c r="H261" s="14"/>
      <c r="I261" s="13">
        <f t="shared" si="30"/>
        <v>4.6770639999999997</v>
      </c>
      <c r="J261" s="14">
        <f t="shared" si="31"/>
        <v>1.36829</v>
      </c>
      <c r="K261" s="14"/>
    </row>
    <row r="262" spans="1:11" ht="15.75" customHeight="1" x14ac:dyDescent="0.25">
      <c r="A262" s="9"/>
      <c r="B262" s="9"/>
      <c r="C262" s="21"/>
      <c r="D262" s="16"/>
      <c r="E262" s="17"/>
      <c r="F262" s="14">
        <f>E261*F261</f>
        <v>135.35999999999999</v>
      </c>
      <c r="G262" s="18">
        <f>E261*G261</f>
        <v>39.6</v>
      </c>
      <c r="H262" s="14">
        <f>SUM(F262,G262)</f>
        <v>174.95999999999998</v>
      </c>
      <c r="I262" s="13">
        <f t="shared" si="30"/>
        <v>168.374304</v>
      </c>
      <c r="J262" s="14">
        <f t="shared" si="31"/>
        <v>49.25844</v>
      </c>
      <c r="K262" s="14">
        <f>J262+I262</f>
        <v>217.632744</v>
      </c>
    </row>
    <row r="263" spans="1:11" ht="15.75" customHeight="1" x14ac:dyDescent="0.25">
      <c r="A263" s="9" t="s">
        <v>241</v>
      </c>
      <c r="B263" s="9" t="s">
        <v>321</v>
      </c>
      <c r="C263" s="10" t="s">
        <v>322</v>
      </c>
      <c r="D263" s="11" t="s">
        <v>47</v>
      </c>
      <c r="E263" s="17">
        <v>4</v>
      </c>
      <c r="F263" s="14">
        <v>8.51</v>
      </c>
      <c r="G263" s="18">
        <v>5.32</v>
      </c>
      <c r="H263" s="14"/>
      <c r="I263" s="13">
        <f t="shared" si="30"/>
        <v>10.585589000000001</v>
      </c>
      <c r="J263" s="14">
        <f t="shared" si="31"/>
        <v>6.6175480000000002</v>
      </c>
      <c r="K263" s="14"/>
    </row>
    <row r="264" spans="1:11" ht="15.75" customHeight="1" x14ac:dyDescent="0.25">
      <c r="A264" s="9"/>
      <c r="B264" s="9"/>
      <c r="C264" s="21"/>
      <c r="D264" s="16"/>
      <c r="E264" s="17"/>
      <c r="F264" s="14">
        <f>E263*F263</f>
        <v>34.04</v>
      </c>
      <c r="G264" s="18">
        <f>E263*G263</f>
        <v>21.28</v>
      </c>
      <c r="H264" s="14">
        <f>SUM(F264,G264)</f>
        <v>55.32</v>
      </c>
      <c r="I264" s="13">
        <f t="shared" si="30"/>
        <v>42.342356000000002</v>
      </c>
      <c r="J264" s="14">
        <f t="shared" si="31"/>
        <v>26.470192000000001</v>
      </c>
      <c r="K264" s="14">
        <f>J264+I264</f>
        <v>68.812548000000007</v>
      </c>
    </row>
    <row r="265" spans="1:11" ht="15.75" customHeight="1" x14ac:dyDescent="0.25">
      <c r="A265" s="9" t="s">
        <v>244</v>
      </c>
      <c r="B265" s="9" t="s">
        <v>324</v>
      </c>
      <c r="C265" s="10" t="s">
        <v>325</v>
      </c>
      <c r="D265" s="11" t="s">
        <v>47</v>
      </c>
      <c r="E265" s="17">
        <v>15</v>
      </c>
      <c r="F265" s="14">
        <v>8.51</v>
      </c>
      <c r="G265" s="18">
        <v>5.32</v>
      </c>
      <c r="H265" s="14"/>
      <c r="I265" s="13">
        <f t="shared" si="30"/>
        <v>10.585589000000001</v>
      </c>
      <c r="J265" s="14">
        <f t="shared" si="31"/>
        <v>6.6175480000000002</v>
      </c>
      <c r="K265" s="14"/>
    </row>
    <row r="266" spans="1:11" ht="15.75" customHeight="1" x14ac:dyDescent="0.25">
      <c r="A266" s="9"/>
      <c r="B266" s="9"/>
      <c r="C266" s="21"/>
      <c r="D266" s="16"/>
      <c r="E266" s="17"/>
      <c r="F266" s="14">
        <f>E265*F265</f>
        <v>127.64999999999999</v>
      </c>
      <c r="G266" s="18">
        <f>E265*G265</f>
        <v>79.800000000000011</v>
      </c>
      <c r="H266" s="14">
        <f>SUM(F266,G266)</f>
        <v>207.45</v>
      </c>
      <c r="I266" s="13">
        <f t="shared" si="30"/>
        <v>158.78383499999998</v>
      </c>
      <c r="J266" s="14">
        <f t="shared" si="31"/>
        <v>99.263220000000018</v>
      </c>
      <c r="K266" s="14">
        <f>J266+I266</f>
        <v>258.047055</v>
      </c>
    </row>
    <row r="267" spans="1:11" ht="15.75" customHeight="1" x14ac:dyDescent="0.25">
      <c r="A267" s="9" t="s">
        <v>247</v>
      </c>
      <c r="B267" s="9" t="s">
        <v>327</v>
      </c>
      <c r="C267" s="10" t="s">
        <v>328</v>
      </c>
      <c r="D267" s="11" t="s">
        <v>47</v>
      </c>
      <c r="E267" s="17">
        <v>3</v>
      </c>
      <c r="F267" s="14">
        <v>5.27</v>
      </c>
      <c r="G267" s="18">
        <v>3.92</v>
      </c>
      <c r="H267" s="14"/>
      <c r="I267" s="13">
        <f t="shared" si="30"/>
        <v>6.5553529999999993</v>
      </c>
      <c r="J267" s="14">
        <f t="shared" si="31"/>
        <v>4.8760880000000002</v>
      </c>
      <c r="K267" s="14"/>
    </row>
    <row r="268" spans="1:11" ht="15.75" customHeight="1" x14ac:dyDescent="0.25">
      <c r="A268" s="9"/>
      <c r="B268" s="9"/>
      <c r="C268" s="21"/>
      <c r="D268" s="16"/>
      <c r="E268" s="17"/>
      <c r="F268" s="14">
        <f>E267*F267</f>
        <v>15.809999999999999</v>
      </c>
      <c r="G268" s="18">
        <f>E267*G267</f>
        <v>11.76</v>
      </c>
      <c r="H268" s="14">
        <f>SUM(F268,G268)</f>
        <v>27.57</v>
      </c>
      <c r="I268" s="13">
        <f t="shared" si="30"/>
        <v>19.666058999999997</v>
      </c>
      <c r="J268" s="14">
        <f t="shared" si="31"/>
        <v>14.628264</v>
      </c>
      <c r="K268" s="14">
        <f>J268+I268</f>
        <v>34.294322999999999</v>
      </c>
    </row>
    <row r="269" spans="1:11" ht="15.75" customHeight="1" x14ac:dyDescent="0.25">
      <c r="A269" s="9" t="s">
        <v>249</v>
      </c>
      <c r="B269" s="9" t="s">
        <v>330</v>
      </c>
      <c r="C269" s="10" t="s">
        <v>331</v>
      </c>
      <c r="D269" s="11" t="s">
        <v>47</v>
      </c>
      <c r="E269" s="17">
        <v>19</v>
      </c>
      <c r="F269" s="14">
        <v>10.8</v>
      </c>
      <c r="G269" s="18">
        <v>4.74</v>
      </c>
      <c r="H269" s="14"/>
      <c r="I269" s="13">
        <f t="shared" ref="I269:I302" si="32">F269*1.2439</f>
        <v>13.43412</v>
      </c>
      <c r="J269" s="14">
        <f t="shared" ref="J269:J302" si="33">G269*1.2439</f>
        <v>5.8960860000000004</v>
      </c>
      <c r="K269" s="14"/>
    </row>
    <row r="270" spans="1:11" ht="15.75" customHeight="1" x14ac:dyDescent="0.25">
      <c r="A270" s="9"/>
      <c r="B270" s="9"/>
      <c r="C270" s="21"/>
      <c r="D270" s="16"/>
      <c r="E270" s="17"/>
      <c r="F270" s="14">
        <f>E269*F269</f>
        <v>205.20000000000002</v>
      </c>
      <c r="G270" s="18">
        <f>E269*G269</f>
        <v>90.06</v>
      </c>
      <c r="H270" s="14">
        <f>SUM(F270,G270)</f>
        <v>295.26</v>
      </c>
      <c r="I270" s="13">
        <f t="shared" si="32"/>
        <v>255.24828000000002</v>
      </c>
      <c r="J270" s="14">
        <f t="shared" si="33"/>
        <v>112.025634</v>
      </c>
      <c r="K270" s="14">
        <f>J270+I270</f>
        <v>367.27391399999999</v>
      </c>
    </row>
    <row r="271" spans="1:11" ht="15.75" customHeight="1" x14ac:dyDescent="0.25">
      <c r="A271" s="9" t="s">
        <v>251</v>
      </c>
      <c r="B271" s="9" t="s">
        <v>333</v>
      </c>
      <c r="C271" s="10" t="s">
        <v>334</v>
      </c>
      <c r="D271" s="11" t="s">
        <v>47</v>
      </c>
      <c r="E271" s="17">
        <v>4</v>
      </c>
      <c r="F271" s="14">
        <v>17.98</v>
      </c>
      <c r="G271" s="18">
        <v>6.97</v>
      </c>
      <c r="H271" s="14"/>
      <c r="I271" s="13">
        <f t="shared" si="32"/>
        <v>22.365321999999999</v>
      </c>
      <c r="J271" s="14">
        <f t="shared" si="33"/>
        <v>8.6699830000000002</v>
      </c>
      <c r="K271" s="14"/>
    </row>
    <row r="272" spans="1:11" ht="15.75" customHeight="1" x14ac:dyDescent="0.25">
      <c r="A272" s="9"/>
      <c r="B272" s="9"/>
      <c r="C272" s="21"/>
      <c r="D272" s="16"/>
      <c r="E272" s="17"/>
      <c r="F272" s="14">
        <f>E271*F271</f>
        <v>71.92</v>
      </c>
      <c r="G272" s="18">
        <f>E271*G271</f>
        <v>27.88</v>
      </c>
      <c r="H272" s="14">
        <f>SUM(F272,G272)</f>
        <v>99.8</v>
      </c>
      <c r="I272" s="13">
        <f t="shared" si="32"/>
        <v>89.461287999999996</v>
      </c>
      <c r="J272" s="14">
        <f t="shared" si="33"/>
        <v>34.679932000000001</v>
      </c>
      <c r="K272" s="14">
        <f>J272+I272</f>
        <v>124.14122</v>
      </c>
    </row>
    <row r="273" spans="1:11" ht="15.75" customHeight="1" x14ac:dyDescent="0.25">
      <c r="A273" s="9" t="s">
        <v>254</v>
      </c>
      <c r="B273" s="9" t="s">
        <v>330</v>
      </c>
      <c r="C273" s="10" t="s">
        <v>336</v>
      </c>
      <c r="D273" s="11" t="s">
        <v>47</v>
      </c>
      <c r="E273" s="17">
        <v>2</v>
      </c>
      <c r="F273" s="14">
        <v>10.8</v>
      </c>
      <c r="G273" s="18">
        <v>4.74</v>
      </c>
      <c r="H273" s="14"/>
      <c r="I273" s="13">
        <f t="shared" si="32"/>
        <v>13.43412</v>
      </c>
      <c r="J273" s="14">
        <f t="shared" si="33"/>
        <v>5.8960860000000004</v>
      </c>
      <c r="K273" s="14"/>
    </row>
    <row r="274" spans="1:11" ht="15.75" customHeight="1" x14ac:dyDescent="0.25">
      <c r="A274" s="9"/>
      <c r="B274" s="9"/>
      <c r="C274" s="21"/>
      <c r="D274" s="16"/>
      <c r="E274" s="17"/>
      <c r="F274" s="14">
        <f>E273*F273</f>
        <v>21.6</v>
      </c>
      <c r="G274" s="18">
        <f>E273*G273</f>
        <v>9.48</v>
      </c>
      <c r="H274" s="14">
        <f>SUM(F274,G274)</f>
        <v>31.080000000000002</v>
      </c>
      <c r="I274" s="13">
        <f t="shared" si="32"/>
        <v>26.86824</v>
      </c>
      <c r="J274" s="14">
        <f t="shared" si="33"/>
        <v>11.792172000000001</v>
      </c>
      <c r="K274" s="14">
        <f>J274+I274</f>
        <v>38.660412000000001</v>
      </c>
    </row>
    <row r="275" spans="1:11" ht="15.75" customHeight="1" x14ac:dyDescent="0.25">
      <c r="A275" s="9" t="s">
        <v>257</v>
      </c>
      <c r="B275" s="9" t="s">
        <v>333</v>
      </c>
      <c r="C275" s="10" t="s">
        <v>338</v>
      </c>
      <c r="D275" s="11" t="s">
        <v>47</v>
      </c>
      <c r="E275" s="17">
        <v>16</v>
      </c>
      <c r="F275" s="14">
        <v>17.98</v>
      </c>
      <c r="G275" s="18">
        <v>6.97</v>
      </c>
      <c r="H275" s="14"/>
      <c r="I275" s="13">
        <f t="shared" si="32"/>
        <v>22.365321999999999</v>
      </c>
      <c r="J275" s="14">
        <f t="shared" si="33"/>
        <v>8.6699830000000002</v>
      </c>
      <c r="K275" s="14"/>
    </row>
    <row r="276" spans="1:11" ht="15.75" customHeight="1" x14ac:dyDescent="0.25">
      <c r="A276" s="9"/>
      <c r="B276" s="9"/>
      <c r="C276" s="21"/>
      <c r="D276" s="16"/>
      <c r="E276" s="17"/>
      <c r="F276" s="14">
        <f>E275*F275</f>
        <v>287.68</v>
      </c>
      <c r="G276" s="18">
        <f>E275*G275</f>
        <v>111.52</v>
      </c>
      <c r="H276" s="14">
        <f>SUM(F276,G276)</f>
        <v>399.2</v>
      </c>
      <c r="I276" s="13">
        <f t="shared" si="32"/>
        <v>357.84515199999998</v>
      </c>
      <c r="J276" s="14">
        <f t="shared" si="33"/>
        <v>138.719728</v>
      </c>
      <c r="K276" s="14">
        <f>J276+I276</f>
        <v>496.56488000000002</v>
      </c>
    </row>
    <row r="277" spans="1:11" ht="15.75" customHeight="1" x14ac:dyDescent="0.25">
      <c r="A277" s="9" t="s">
        <v>259</v>
      </c>
      <c r="B277" s="9" t="s">
        <v>340</v>
      </c>
      <c r="C277" s="10" t="s">
        <v>341</v>
      </c>
      <c r="D277" s="11" t="s">
        <v>47</v>
      </c>
      <c r="E277" s="17">
        <v>13</v>
      </c>
      <c r="F277" s="14">
        <v>23.59</v>
      </c>
      <c r="G277" s="18">
        <v>9.2100000000000009</v>
      </c>
      <c r="H277" s="14"/>
      <c r="I277" s="13">
        <f t="shared" si="32"/>
        <v>29.343601</v>
      </c>
      <c r="J277" s="14">
        <f t="shared" si="33"/>
        <v>11.456319000000001</v>
      </c>
      <c r="K277" s="14"/>
    </row>
    <row r="278" spans="1:11" ht="15.75" customHeight="1" x14ac:dyDescent="0.25">
      <c r="A278" s="9"/>
      <c r="B278" s="9"/>
      <c r="C278" s="21"/>
      <c r="D278" s="16"/>
      <c r="E278" s="17"/>
      <c r="F278" s="14">
        <f>E277*F277</f>
        <v>306.67</v>
      </c>
      <c r="G278" s="18">
        <f>E277*G277</f>
        <v>119.73000000000002</v>
      </c>
      <c r="H278" s="14">
        <f>SUM(F278,G278)</f>
        <v>426.40000000000003</v>
      </c>
      <c r="I278" s="13">
        <f t="shared" si="32"/>
        <v>381.466813</v>
      </c>
      <c r="J278" s="14">
        <f t="shared" si="33"/>
        <v>148.93214700000001</v>
      </c>
      <c r="K278" s="14">
        <f>J278+I278</f>
        <v>530.39895999999999</v>
      </c>
    </row>
    <row r="279" spans="1:11" ht="15.75" customHeight="1" x14ac:dyDescent="0.25">
      <c r="A279" s="9" t="s">
        <v>262</v>
      </c>
      <c r="B279" s="9" t="s">
        <v>340</v>
      </c>
      <c r="C279" s="10" t="s">
        <v>343</v>
      </c>
      <c r="D279" s="11" t="s">
        <v>47</v>
      </c>
      <c r="E279" s="17">
        <v>3</v>
      </c>
      <c r="F279" s="14">
        <v>23.59</v>
      </c>
      <c r="G279" s="18">
        <v>9.2100000000000009</v>
      </c>
      <c r="H279" s="14"/>
      <c r="I279" s="13">
        <f t="shared" si="32"/>
        <v>29.343601</v>
      </c>
      <c r="J279" s="14">
        <f t="shared" si="33"/>
        <v>11.456319000000001</v>
      </c>
      <c r="K279" s="14"/>
    </row>
    <row r="280" spans="1:11" ht="15.75" customHeight="1" x14ac:dyDescent="0.25">
      <c r="A280" s="9"/>
      <c r="B280" s="9"/>
      <c r="C280" s="21"/>
      <c r="D280" s="16"/>
      <c r="E280" s="17"/>
      <c r="F280" s="14">
        <f>E279*F279</f>
        <v>70.77</v>
      </c>
      <c r="G280" s="18">
        <f>E279*G279</f>
        <v>27.630000000000003</v>
      </c>
      <c r="H280" s="14">
        <f>SUM(F280,G280)</f>
        <v>98.4</v>
      </c>
      <c r="I280" s="13">
        <f t="shared" si="32"/>
        <v>88.030802999999992</v>
      </c>
      <c r="J280" s="14">
        <f t="shared" si="33"/>
        <v>34.368957000000002</v>
      </c>
      <c r="K280" s="14">
        <f>J280+I280</f>
        <v>122.39975999999999</v>
      </c>
    </row>
    <row r="281" spans="1:11" ht="15.75" customHeight="1" x14ac:dyDescent="0.25">
      <c r="A281" s="9" t="s">
        <v>265</v>
      </c>
      <c r="B281" s="9" t="s">
        <v>340</v>
      </c>
      <c r="C281" s="10" t="s">
        <v>345</v>
      </c>
      <c r="D281" s="11" t="s">
        <v>47</v>
      </c>
      <c r="E281" s="17">
        <v>8</v>
      </c>
      <c r="F281" s="14">
        <v>23.59</v>
      </c>
      <c r="G281" s="18">
        <v>9.2100000000000009</v>
      </c>
      <c r="H281" s="14"/>
      <c r="I281" s="13">
        <f t="shared" si="32"/>
        <v>29.343601</v>
      </c>
      <c r="J281" s="14">
        <f t="shared" si="33"/>
        <v>11.456319000000001</v>
      </c>
      <c r="K281" s="14"/>
    </row>
    <row r="282" spans="1:11" ht="15.75" customHeight="1" x14ac:dyDescent="0.25">
      <c r="A282" s="9"/>
      <c r="B282" s="9"/>
      <c r="C282" s="21"/>
      <c r="D282" s="16"/>
      <c r="E282" s="17"/>
      <c r="F282" s="14">
        <f>E281*F281</f>
        <v>188.72</v>
      </c>
      <c r="G282" s="18">
        <f>E281*G281</f>
        <v>73.680000000000007</v>
      </c>
      <c r="H282" s="14">
        <f>SUM(F282,G282)</f>
        <v>262.39999999999998</v>
      </c>
      <c r="I282" s="13">
        <f t="shared" si="32"/>
        <v>234.748808</v>
      </c>
      <c r="J282" s="14">
        <f t="shared" si="33"/>
        <v>91.650552000000005</v>
      </c>
      <c r="K282" s="14">
        <f>J282+I282</f>
        <v>326.39936</v>
      </c>
    </row>
    <row r="283" spans="1:11" ht="15.75" customHeight="1" x14ac:dyDescent="0.25">
      <c r="A283" s="9" t="s">
        <v>268</v>
      </c>
      <c r="B283" s="9" t="s">
        <v>347</v>
      </c>
      <c r="C283" s="10" t="s">
        <v>348</v>
      </c>
      <c r="D283" s="11" t="s">
        <v>47</v>
      </c>
      <c r="E283" s="17">
        <v>7</v>
      </c>
      <c r="F283" s="14">
        <v>19.27</v>
      </c>
      <c r="G283" s="18">
        <v>6.97</v>
      </c>
      <c r="H283" s="14"/>
      <c r="I283" s="13">
        <f t="shared" si="32"/>
        <v>23.969953</v>
      </c>
      <c r="J283" s="14">
        <f t="shared" si="33"/>
        <v>8.6699830000000002</v>
      </c>
      <c r="K283" s="14"/>
    </row>
    <row r="284" spans="1:11" ht="15.75" customHeight="1" x14ac:dyDescent="0.25">
      <c r="A284" s="9"/>
      <c r="B284" s="9"/>
      <c r="C284" s="21"/>
      <c r="D284" s="16"/>
      <c r="E284" s="17"/>
      <c r="F284" s="14">
        <f>E283*F283</f>
        <v>134.88999999999999</v>
      </c>
      <c r="G284" s="18">
        <f>E283*G283</f>
        <v>48.79</v>
      </c>
      <c r="H284" s="14">
        <f>SUM(F284,G284)</f>
        <v>183.67999999999998</v>
      </c>
      <c r="I284" s="13">
        <f t="shared" si="32"/>
        <v>167.78967099999997</v>
      </c>
      <c r="J284" s="14">
        <f t="shared" si="33"/>
        <v>60.689881</v>
      </c>
      <c r="K284" s="14">
        <f>J284+I284</f>
        <v>228.47955199999996</v>
      </c>
    </row>
    <row r="285" spans="1:11" ht="15.75" customHeight="1" x14ac:dyDescent="0.25">
      <c r="A285" s="9" t="s">
        <v>271</v>
      </c>
      <c r="B285" s="9" t="s">
        <v>350</v>
      </c>
      <c r="C285" s="10" t="s">
        <v>351</v>
      </c>
      <c r="D285" s="11" t="s">
        <v>47</v>
      </c>
      <c r="E285" s="17">
        <v>10</v>
      </c>
      <c r="F285" s="14">
        <v>0</v>
      </c>
      <c r="G285" s="18">
        <v>10.6</v>
      </c>
      <c r="H285" s="14"/>
      <c r="I285" s="13">
        <f t="shared" si="32"/>
        <v>0</v>
      </c>
      <c r="J285" s="14">
        <f t="shared" si="33"/>
        <v>13.18534</v>
      </c>
      <c r="K285" s="14"/>
    </row>
    <row r="286" spans="1:11" ht="15.75" customHeight="1" x14ac:dyDescent="0.25">
      <c r="A286" s="9"/>
      <c r="B286" s="9"/>
      <c r="C286" s="21"/>
      <c r="D286" s="16"/>
      <c r="E286" s="17"/>
      <c r="F286" s="14">
        <f>E285*F285</f>
        <v>0</v>
      </c>
      <c r="G286" s="18">
        <f>E285*G285</f>
        <v>106</v>
      </c>
      <c r="H286" s="14">
        <f>SUM(F286,G286)</f>
        <v>106</v>
      </c>
      <c r="I286" s="13">
        <f t="shared" si="32"/>
        <v>0</v>
      </c>
      <c r="J286" s="14">
        <f t="shared" si="33"/>
        <v>131.85339999999999</v>
      </c>
      <c r="K286" s="14">
        <f>J286+I286</f>
        <v>131.85339999999999</v>
      </c>
    </row>
    <row r="287" spans="1:11" ht="15.75" customHeight="1" x14ac:dyDescent="0.25">
      <c r="A287" s="9" t="s">
        <v>274</v>
      </c>
      <c r="B287" s="9" t="s">
        <v>48</v>
      </c>
      <c r="C287" s="28" t="s">
        <v>353</v>
      </c>
      <c r="D287" s="29" t="s">
        <v>47</v>
      </c>
      <c r="E287" s="30">
        <v>3</v>
      </c>
      <c r="F287" s="31">
        <f t="shared" ref="F287:G287" si="34">319.52*0.8</f>
        <v>255.61599999999999</v>
      </c>
      <c r="G287" s="31">
        <f t="shared" si="34"/>
        <v>255.61599999999999</v>
      </c>
      <c r="H287" s="31"/>
      <c r="I287" s="13">
        <f t="shared" si="32"/>
        <v>317.96074239999996</v>
      </c>
      <c r="J287" s="14">
        <f t="shared" si="33"/>
        <v>317.96074239999996</v>
      </c>
      <c r="K287" s="14"/>
    </row>
    <row r="288" spans="1:11" ht="15.75" customHeight="1" x14ac:dyDescent="0.25">
      <c r="A288" s="9"/>
      <c r="B288" s="9"/>
      <c r="C288" s="21"/>
      <c r="D288" s="16"/>
      <c r="E288" s="17"/>
      <c r="F288" s="14">
        <f>E287*F287</f>
        <v>766.84799999999996</v>
      </c>
      <c r="G288" s="18">
        <f>E287*G287</f>
        <v>766.84799999999996</v>
      </c>
      <c r="H288" s="14">
        <f>SUM(F288,G288)</f>
        <v>1533.6959999999999</v>
      </c>
      <c r="I288" s="13">
        <f t="shared" si="32"/>
        <v>953.88222719999999</v>
      </c>
      <c r="J288" s="14">
        <f t="shared" si="33"/>
        <v>953.88222719999999</v>
      </c>
      <c r="K288" s="14">
        <f>J288+I288</f>
        <v>1907.7644544</v>
      </c>
    </row>
    <row r="289" spans="1:11" ht="15.75" customHeight="1" x14ac:dyDescent="0.25">
      <c r="A289" s="9" t="s">
        <v>277</v>
      </c>
      <c r="B289" s="9" t="s">
        <v>48</v>
      </c>
      <c r="C289" s="28" t="s">
        <v>355</v>
      </c>
      <c r="D289" s="29" t="s">
        <v>47</v>
      </c>
      <c r="E289" s="30">
        <v>7</v>
      </c>
      <c r="F289" s="31">
        <f>362.57*0.8</f>
        <v>290.05599999999998</v>
      </c>
      <c r="G289" s="31">
        <f>362.57*0.2</f>
        <v>72.513999999999996</v>
      </c>
      <c r="H289" s="31"/>
      <c r="I289" s="13">
        <f t="shared" si="32"/>
        <v>360.80065839999997</v>
      </c>
      <c r="J289" s="14">
        <f t="shared" si="33"/>
        <v>90.200164599999994</v>
      </c>
      <c r="K289" s="14"/>
    </row>
    <row r="290" spans="1:11" ht="15.75" customHeight="1" x14ac:dyDescent="0.25">
      <c r="A290" s="9"/>
      <c r="B290" s="9"/>
      <c r="C290" s="21"/>
      <c r="D290" s="16"/>
      <c r="E290" s="17"/>
      <c r="F290" s="14">
        <f>E289*F289</f>
        <v>2030.3919999999998</v>
      </c>
      <c r="G290" s="18">
        <f>E289*G289</f>
        <v>507.59799999999996</v>
      </c>
      <c r="H290" s="14">
        <f>SUM(F290,G290)</f>
        <v>2537.9899999999998</v>
      </c>
      <c r="I290" s="13">
        <f t="shared" si="32"/>
        <v>2525.6046087999998</v>
      </c>
      <c r="J290" s="14">
        <f t="shared" si="33"/>
        <v>631.40115219999996</v>
      </c>
      <c r="K290" s="14">
        <f>J290+I290</f>
        <v>3157.0057609999999</v>
      </c>
    </row>
    <row r="291" spans="1:11" ht="15.75" customHeight="1" x14ac:dyDescent="0.25">
      <c r="A291" s="9" t="s">
        <v>279</v>
      </c>
      <c r="B291" s="9" t="s">
        <v>357</v>
      </c>
      <c r="C291" s="10" t="s">
        <v>358</v>
      </c>
      <c r="D291" s="11" t="s">
        <v>47</v>
      </c>
      <c r="E291" s="17">
        <v>25</v>
      </c>
      <c r="F291" s="14">
        <v>7.85</v>
      </c>
      <c r="G291" s="18">
        <v>1.94</v>
      </c>
      <c r="H291" s="14"/>
      <c r="I291" s="13">
        <f t="shared" si="32"/>
        <v>9.7646149999999992</v>
      </c>
      <c r="J291" s="14">
        <f t="shared" si="33"/>
        <v>2.4131659999999999</v>
      </c>
      <c r="K291" s="14"/>
    </row>
    <row r="292" spans="1:11" ht="15.75" customHeight="1" x14ac:dyDescent="0.25">
      <c r="A292" s="9"/>
      <c r="B292" s="9"/>
      <c r="C292" s="21"/>
      <c r="D292" s="16"/>
      <c r="E292" s="17"/>
      <c r="F292" s="14">
        <f>E291*F291</f>
        <v>196.25</v>
      </c>
      <c r="G292" s="18">
        <f>E291*G291</f>
        <v>48.5</v>
      </c>
      <c r="H292" s="14">
        <f>SUM(F292,G292)</f>
        <v>244.75</v>
      </c>
      <c r="I292" s="13">
        <f t="shared" si="32"/>
        <v>244.115375</v>
      </c>
      <c r="J292" s="14">
        <f t="shared" si="33"/>
        <v>60.329149999999998</v>
      </c>
      <c r="K292" s="14">
        <f>J292+I292</f>
        <v>304.444525</v>
      </c>
    </row>
    <row r="293" spans="1:11" ht="15.75" customHeight="1" x14ac:dyDescent="0.25">
      <c r="A293" s="9" t="s">
        <v>808</v>
      </c>
      <c r="B293" s="9" t="s">
        <v>48</v>
      </c>
      <c r="C293" s="28" t="s">
        <v>360</v>
      </c>
      <c r="D293" s="29" t="s">
        <v>47</v>
      </c>
      <c r="E293" s="30">
        <v>3</v>
      </c>
      <c r="F293" s="31">
        <f>44.5*0.8</f>
        <v>35.6</v>
      </c>
      <c r="G293" s="31">
        <f>44.5*0.2</f>
        <v>8.9</v>
      </c>
      <c r="H293" s="31"/>
      <c r="I293" s="13">
        <f t="shared" si="32"/>
        <v>44.28284</v>
      </c>
      <c r="J293" s="14">
        <f t="shared" si="33"/>
        <v>11.07071</v>
      </c>
      <c r="K293" s="14"/>
    </row>
    <row r="294" spans="1:11" ht="15.75" customHeight="1" x14ac:dyDescent="0.25">
      <c r="A294" s="9"/>
      <c r="B294" s="9"/>
      <c r="C294" s="21"/>
      <c r="D294" s="16"/>
      <c r="E294" s="17"/>
      <c r="F294" s="14">
        <f>E293*F293</f>
        <v>106.80000000000001</v>
      </c>
      <c r="G294" s="18">
        <f>E293*G293</f>
        <v>26.700000000000003</v>
      </c>
      <c r="H294" s="14">
        <f>SUM(F294,G294)</f>
        <v>133.5</v>
      </c>
      <c r="I294" s="13">
        <f t="shared" si="32"/>
        <v>132.84852000000001</v>
      </c>
      <c r="J294" s="14">
        <f t="shared" si="33"/>
        <v>33.212130000000002</v>
      </c>
      <c r="K294" s="14">
        <f>J294+I294</f>
        <v>166.06065000000001</v>
      </c>
    </row>
    <row r="295" spans="1:11" ht="15.75" customHeight="1" x14ac:dyDescent="0.25">
      <c r="A295" s="9" t="s">
        <v>809</v>
      </c>
      <c r="B295" s="9" t="s">
        <v>48</v>
      </c>
      <c r="C295" s="28" t="s">
        <v>361</v>
      </c>
      <c r="D295" s="29" t="s">
        <v>47</v>
      </c>
      <c r="E295" s="30">
        <v>41</v>
      </c>
      <c r="F295" s="31">
        <f>304.86*0.8</f>
        <v>243.88800000000003</v>
      </c>
      <c r="G295" s="31">
        <f>304.86*0.2</f>
        <v>60.972000000000008</v>
      </c>
      <c r="H295" s="31"/>
      <c r="I295" s="13">
        <f t="shared" si="32"/>
        <v>303.37228320000003</v>
      </c>
      <c r="J295" s="14">
        <f t="shared" si="33"/>
        <v>75.843070800000007</v>
      </c>
      <c r="K295" s="14"/>
    </row>
    <row r="296" spans="1:11" ht="15.75" customHeight="1" x14ac:dyDescent="0.25">
      <c r="A296" s="9"/>
      <c r="B296" s="9"/>
      <c r="C296" s="21"/>
      <c r="D296" s="16"/>
      <c r="E296" s="17"/>
      <c r="F296" s="14">
        <f>E295*F295</f>
        <v>9999.4080000000013</v>
      </c>
      <c r="G296" s="18">
        <f>E295*G295</f>
        <v>2499.8520000000003</v>
      </c>
      <c r="H296" s="14">
        <f>SUM(F296,G296)</f>
        <v>12499.260000000002</v>
      </c>
      <c r="I296" s="13">
        <f t="shared" si="32"/>
        <v>12438.263611200002</v>
      </c>
      <c r="J296" s="14">
        <f t="shared" si="33"/>
        <v>3109.5659028000005</v>
      </c>
      <c r="K296" s="14">
        <f>J296+I296</f>
        <v>15547.829514000003</v>
      </c>
    </row>
    <row r="297" spans="1:11" ht="15.75" customHeight="1" x14ac:dyDescent="0.25">
      <c r="A297" s="9" t="s">
        <v>810</v>
      </c>
      <c r="B297" s="9" t="s">
        <v>48</v>
      </c>
      <c r="C297" s="28" t="s">
        <v>362</v>
      </c>
      <c r="D297" s="29" t="s">
        <v>47</v>
      </c>
      <c r="E297" s="30">
        <v>3</v>
      </c>
      <c r="F297" s="31">
        <f>1585.16*0.8</f>
        <v>1268.1280000000002</v>
      </c>
      <c r="G297" s="31">
        <f>1585.16*0.2</f>
        <v>317.03200000000004</v>
      </c>
      <c r="H297" s="31"/>
      <c r="I297" s="13">
        <f t="shared" si="32"/>
        <v>1577.4244192000001</v>
      </c>
      <c r="J297" s="14">
        <f t="shared" si="33"/>
        <v>394.35610480000003</v>
      </c>
      <c r="K297" s="14"/>
    </row>
    <row r="298" spans="1:11" ht="15.75" customHeight="1" x14ac:dyDescent="0.25">
      <c r="A298" s="9"/>
      <c r="B298" s="9"/>
      <c r="C298" s="21"/>
      <c r="D298" s="16"/>
      <c r="E298" s="17"/>
      <c r="F298" s="14">
        <f>E297*F297</f>
        <v>3804.3840000000005</v>
      </c>
      <c r="G298" s="18">
        <f>E297*G297</f>
        <v>951.09600000000012</v>
      </c>
      <c r="H298" s="14">
        <f>SUM(F298,G298)</f>
        <v>4755.4800000000005</v>
      </c>
      <c r="I298" s="13">
        <f t="shared" si="32"/>
        <v>4732.2732576000008</v>
      </c>
      <c r="J298" s="14">
        <f t="shared" si="33"/>
        <v>1183.0683144000002</v>
      </c>
      <c r="K298" s="14">
        <f>J298+I298</f>
        <v>5915.3415720000012</v>
      </c>
    </row>
    <row r="299" spans="1:11" ht="15.75" customHeight="1" x14ac:dyDescent="0.25">
      <c r="A299" s="9" t="s">
        <v>811</v>
      </c>
      <c r="B299" s="9" t="s">
        <v>48</v>
      </c>
      <c r="C299" s="28" t="s">
        <v>363</v>
      </c>
      <c r="D299" s="29" t="s">
        <v>47</v>
      </c>
      <c r="E299" s="30">
        <v>1</v>
      </c>
      <c r="F299" s="31">
        <f>2879.02*0.8</f>
        <v>2303.2159999999999</v>
      </c>
      <c r="G299" s="31">
        <f>2879.02*0.2</f>
        <v>575.80399999999997</v>
      </c>
      <c r="H299" s="31"/>
      <c r="I299" s="13">
        <f t="shared" si="32"/>
        <v>2864.9703823999998</v>
      </c>
      <c r="J299" s="14">
        <f t="shared" si="33"/>
        <v>716.24259559999996</v>
      </c>
      <c r="K299" s="14"/>
    </row>
    <row r="300" spans="1:11" ht="15.75" customHeight="1" x14ac:dyDescent="0.25">
      <c r="A300" s="9"/>
      <c r="B300" s="9"/>
      <c r="C300" s="21"/>
      <c r="D300" s="16"/>
      <c r="E300" s="17"/>
      <c r="F300" s="14">
        <f>E299*F299</f>
        <v>2303.2159999999999</v>
      </c>
      <c r="G300" s="18">
        <f>E299*G299</f>
        <v>575.80399999999997</v>
      </c>
      <c r="H300" s="14">
        <f>SUM(F300,G300)</f>
        <v>2879.02</v>
      </c>
      <c r="I300" s="13">
        <f t="shared" si="32"/>
        <v>2864.9703823999998</v>
      </c>
      <c r="J300" s="14">
        <f t="shared" si="33"/>
        <v>716.24259559999996</v>
      </c>
      <c r="K300" s="14">
        <f>J300+I300</f>
        <v>3581.2129779999996</v>
      </c>
    </row>
    <row r="301" spans="1:11" ht="15.75" customHeight="1" x14ac:dyDescent="0.25">
      <c r="A301" s="9" t="s">
        <v>812</v>
      </c>
      <c r="B301" s="9" t="s">
        <v>48</v>
      </c>
      <c r="C301" s="28" t="s">
        <v>364</v>
      </c>
      <c r="D301" s="29" t="s">
        <v>24</v>
      </c>
      <c r="E301" s="30">
        <v>254.2</v>
      </c>
      <c r="F301" s="31">
        <f>143.83*0.8</f>
        <v>115.06400000000002</v>
      </c>
      <c r="G301" s="31">
        <f>143.83*0.2</f>
        <v>28.766000000000005</v>
      </c>
      <c r="H301" s="31"/>
      <c r="I301" s="13">
        <f t="shared" si="32"/>
        <v>143.12810960000002</v>
      </c>
      <c r="J301" s="14">
        <f t="shared" si="33"/>
        <v>35.782027400000004</v>
      </c>
      <c r="K301" s="14"/>
    </row>
    <row r="302" spans="1:11" ht="15.75" customHeight="1" x14ac:dyDescent="0.25">
      <c r="A302" s="9"/>
      <c r="B302" s="9"/>
      <c r="C302" s="21"/>
      <c r="D302" s="16"/>
      <c r="E302" s="17"/>
      <c r="F302" s="14">
        <f>E301*F301</f>
        <v>29249.268800000005</v>
      </c>
      <c r="G302" s="18">
        <f>E301*G301</f>
        <v>7312.3172000000013</v>
      </c>
      <c r="H302" s="14">
        <f>SUM(F302,G302)</f>
        <v>36561.58600000001</v>
      </c>
      <c r="I302" s="13">
        <f t="shared" si="32"/>
        <v>36383.165460320008</v>
      </c>
      <c r="J302" s="14">
        <f t="shared" si="33"/>
        <v>9095.7913650800019</v>
      </c>
      <c r="K302" s="14">
        <f>J302+I302</f>
        <v>45478.956825400011</v>
      </c>
    </row>
    <row r="303" spans="1:11" ht="15.75" customHeight="1" x14ac:dyDescent="0.25">
      <c r="A303" s="9"/>
      <c r="B303" s="9"/>
      <c r="C303" s="21"/>
      <c r="D303" s="16"/>
      <c r="E303" s="17"/>
      <c r="F303" s="14"/>
      <c r="G303" s="18"/>
      <c r="H303" s="14"/>
      <c r="I303" s="14"/>
      <c r="J303" s="18"/>
      <c r="K303" s="14"/>
    </row>
    <row r="304" spans="1:11" ht="15.75" customHeight="1" x14ac:dyDescent="0.25">
      <c r="A304" s="9"/>
      <c r="B304" s="9"/>
      <c r="C304" s="21" t="s">
        <v>365</v>
      </c>
      <c r="D304" s="16"/>
      <c r="E304" s="17"/>
      <c r="F304" s="14">
        <f t="shared" ref="F304:J304" si="35">F302+F300+F298+F296+F294+F292+F290+F288+F286+F284+F282+F280+F278+F276+F274+F272+F270+F268+F266+F264+F262+F260+F258+F256+F254+F252+F250+F248+F246+F244+F242+F240+F238</f>
        <v>81097.352400000003</v>
      </c>
      <c r="G304" s="14">
        <f t="shared" si="35"/>
        <v>18419.548600000002</v>
      </c>
      <c r="H304" s="14">
        <f>SUM(F304,G304)</f>
        <v>99516.901000000013</v>
      </c>
      <c r="I304" s="14">
        <f t="shared" si="35"/>
        <v>100876.99665036004</v>
      </c>
      <c r="J304" s="14">
        <f t="shared" si="35"/>
        <v>22912.076503540015</v>
      </c>
      <c r="K304" s="14">
        <f>SUM(I304,J304)</f>
        <v>123789.07315390006</v>
      </c>
    </row>
    <row r="305" spans="1:11" ht="15.75" customHeight="1" x14ac:dyDescent="0.25">
      <c r="A305" s="9"/>
      <c r="B305" s="9"/>
      <c r="C305" s="10"/>
      <c r="D305" s="16"/>
      <c r="E305" s="17"/>
      <c r="F305" s="14"/>
      <c r="G305" s="18"/>
      <c r="H305" s="14"/>
      <c r="I305" s="14"/>
      <c r="J305" s="18"/>
      <c r="K305" s="14"/>
    </row>
    <row r="306" spans="1:11" ht="15.75" customHeight="1" x14ac:dyDescent="0.25">
      <c r="A306" s="3" t="s">
        <v>282</v>
      </c>
      <c r="B306" s="3"/>
      <c r="C306" s="4" t="s">
        <v>367</v>
      </c>
      <c r="D306" s="5"/>
      <c r="E306" s="22"/>
      <c r="F306" s="8"/>
      <c r="G306" s="23"/>
      <c r="H306" s="8"/>
      <c r="I306" s="8"/>
      <c r="J306" s="23"/>
      <c r="K306" s="8"/>
    </row>
    <row r="307" spans="1:11" ht="15.75" customHeight="1" x14ac:dyDescent="0.25">
      <c r="A307" s="9" t="s">
        <v>284</v>
      </c>
      <c r="B307" s="9" t="s">
        <v>48</v>
      </c>
      <c r="C307" s="28" t="s">
        <v>369</v>
      </c>
      <c r="D307" s="29" t="s">
        <v>47</v>
      </c>
      <c r="E307" s="30">
        <v>8</v>
      </c>
      <c r="F307" s="31">
        <f>233.45*0.8</f>
        <v>186.76</v>
      </c>
      <c r="G307" s="31">
        <f>233.45*0.2</f>
        <v>46.69</v>
      </c>
      <c r="H307" s="31"/>
      <c r="I307" s="13">
        <f t="shared" ref="I307:I338" si="36">F307*1.2439</f>
        <v>232.31076399999998</v>
      </c>
      <c r="J307" s="14">
        <f t="shared" ref="J307:J338" si="37">G307*1.2439</f>
        <v>58.077690999999994</v>
      </c>
      <c r="K307" s="14"/>
    </row>
    <row r="308" spans="1:11" ht="15.75" customHeight="1" x14ac:dyDescent="0.25">
      <c r="A308" s="9"/>
      <c r="B308" s="9"/>
      <c r="C308" s="10"/>
      <c r="D308" s="16"/>
      <c r="E308" s="17"/>
      <c r="F308" s="14">
        <f>E307*F307</f>
        <v>1494.08</v>
      </c>
      <c r="G308" s="18">
        <f>E307*G307</f>
        <v>373.52</v>
      </c>
      <c r="H308" s="14">
        <f>SUM(F308,G308)</f>
        <v>1867.6</v>
      </c>
      <c r="I308" s="13">
        <f t="shared" si="36"/>
        <v>1858.4861119999998</v>
      </c>
      <c r="J308" s="14">
        <f t="shared" si="37"/>
        <v>464.62152799999996</v>
      </c>
      <c r="K308" s="14">
        <f>J308+I308</f>
        <v>2323.1076399999997</v>
      </c>
    </row>
    <row r="309" spans="1:11" ht="15.75" customHeight="1" x14ac:dyDescent="0.25">
      <c r="A309" s="9" t="s">
        <v>287</v>
      </c>
      <c r="B309" s="9" t="s">
        <v>371</v>
      </c>
      <c r="C309" s="10" t="s">
        <v>372</v>
      </c>
      <c r="D309" s="11" t="s">
        <v>47</v>
      </c>
      <c r="E309" s="17">
        <v>1</v>
      </c>
      <c r="F309" s="14">
        <v>363.37</v>
      </c>
      <c r="G309" s="18">
        <v>18.329999999999998</v>
      </c>
      <c r="H309" s="14"/>
      <c r="I309" s="13">
        <f t="shared" si="36"/>
        <v>451.99594300000001</v>
      </c>
      <c r="J309" s="14">
        <f t="shared" si="37"/>
        <v>22.800686999999996</v>
      </c>
      <c r="K309" s="14"/>
    </row>
    <row r="310" spans="1:11" ht="15.75" customHeight="1" x14ac:dyDescent="0.25">
      <c r="A310" s="9"/>
      <c r="B310" s="9"/>
      <c r="C310" s="10"/>
      <c r="D310" s="16"/>
      <c r="E310" s="17"/>
      <c r="F310" s="14">
        <f>E309*F309</f>
        <v>363.37</v>
      </c>
      <c r="G310" s="18">
        <f>E309*G309</f>
        <v>18.329999999999998</v>
      </c>
      <c r="H310" s="14">
        <f>SUM(F310,G310)</f>
        <v>381.7</v>
      </c>
      <c r="I310" s="13">
        <f t="shared" si="36"/>
        <v>451.99594300000001</v>
      </c>
      <c r="J310" s="14">
        <f t="shared" si="37"/>
        <v>22.800686999999996</v>
      </c>
      <c r="K310" s="14">
        <f>J310+I310</f>
        <v>474.79662999999999</v>
      </c>
    </row>
    <row r="311" spans="1:11" ht="15.75" customHeight="1" x14ac:dyDescent="0.25">
      <c r="A311" s="9" t="s">
        <v>289</v>
      </c>
      <c r="B311" s="9" t="s">
        <v>48</v>
      </c>
      <c r="C311" s="28" t="s">
        <v>374</v>
      </c>
      <c r="D311" s="29" t="s">
        <v>47</v>
      </c>
      <c r="E311" s="30">
        <v>11</v>
      </c>
      <c r="F311" s="31">
        <f>187.76*0.8</f>
        <v>150.208</v>
      </c>
      <c r="G311" s="31">
        <f>187.76*0.2</f>
        <v>37.552</v>
      </c>
      <c r="H311" s="31"/>
      <c r="I311" s="13">
        <f t="shared" si="36"/>
        <v>186.84373120000001</v>
      </c>
      <c r="J311" s="14">
        <f t="shared" si="37"/>
        <v>46.710932800000002</v>
      </c>
      <c r="K311" s="14"/>
    </row>
    <row r="312" spans="1:11" ht="15.75" customHeight="1" x14ac:dyDescent="0.25">
      <c r="A312" s="9"/>
      <c r="B312" s="9"/>
      <c r="C312" s="10"/>
      <c r="D312" s="16"/>
      <c r="E312" s="17"/>
      <c r="F312" s="14">
        <f>E311*F311</f>
        <v>1652.288</v>
      </c>
      <c r="G312" s="18">
        <f>E311*G311</f>
        <v>413.072</v>
      </c>
      <c r="H312" s="14">
        <f>SUM(F312,G312)</f>
        <v>2065.36</v>
      </c>
      <c r="I312" s="13">
        <f t="shared" si="36"/>
        <v>2055.2810432000001</v>
      </c>
      <c r="J312" s="14">
        <f t="shared" si="37"/>
        <v>513.82026080000003</v>
      </c>
      <c r="K312" s="14">
        <f>J312+I312</f>
        <v>2569.1013040000003</v>
      </c>
    </row>
    <row r="313" spans="1:11" ht="45" customHeight="1" x14ac:dyDescent="0.25">
      <c r="A313" s="9" t="s">
        <v>291</v>
      </c>
      <c r="B313" s="9" t="s">
        <v>48</v>
      </c>
      <c r="C313" s="28" t="s">
        <v>377</v>
      </c>
      <c r="D313" s="29" t="s">
        <v>47</v>
      </c>
      <c r="E313" s="30">
        <v>8</v>
      </c>
      <c r="F313" s="31">
        <f>553.77*0.8</f>
        <v>443.01600000000002</v>
      </c>
      <c r="G313" s="31">
        <f>553.77*0.2</f>
        <v>110.754</v>
      </c>
      <c r="H313" s="31"/>
      <c r="I313" s="13">
        <f t="shared" si="36"/>
        <v>551.06760240000006</v>
      </c>
      <c r="J313" s="14">
        <f t="shared" si="37"/>
        <v>137.76690060000001</v>
      </c>
      <c r="K313" s="14"/>
    </row>
    <row r="314" spans="1:11" ht="15.75" customHeight="1" x14ac:dyDescent="0.25">
      <c r="A314" s="9"/>
      <c r="B314" s="9"/>
      <c r="C314" s="10"/>
      <c r="D314" s="16"/>
      <c r="E314" s="17"/>
      <c r="F314" s="14">
        <f>E313*F313</f>
        <v>3544.1280000000002</v>
      </c>
      <c r="G314" s="18">
        <f>E313*G313</f>
        <v>886.03200000000004</v>
      </c>
      <c r="H314" s="14">
        <f>SUM(F314,G314)</f>
        <v>4430.16</v>
      </c>
      <c r="I314" s="13">
        <f t="shared" si="36"/>
        <v>4408.5408192000004</v>
      </c>
      <c r="J314" s="14">
        <f t="shared" si="37"/>
        <v>1102.1352048000001</v>
      </c>
      <c r="K314" s="14">
        <f>J314+I314</f>
        <v>5510.6760240000003</v>
      </c>
    </row>
    <row r="315" spans="1:11" ht="15.75" customHeight="1" x14ac:dyDescent="0.25">
      <c r="A315" s="9" t="s">
        <v>293</v>
      </c>
      <c r="B315" s="9" t="s">
        <v>48</v>
      </c>
      <c r="C315" s="28" t="s">
        <v>380</v>
      </c>
      <c r="D315" s="29" t="s">
        <v>47</v>
      </c>
      <c r="E315" s="30">
        <v>11</v>
      </c>
      <c r="F315" s="31">
        <f>35.4*0.8</f>
        <v>28.32</v>
      </c>
      <c r="G315" s="31">
        <f>35.4*0.2</f>
        <v>7.08</v>
      </c>
      <c r="H315" s="31"/>
      <c r="I315" s="13">
        <f t="shared" si="36"/>
        <v>35.227248000000003</v>
      </c>
      <c r="J315" s="14">
        <f t="shared" si="37"/>
        <v>8.8068120000000008</v>
      </c>
      <c r="K315" s="14"/>
    </row>
    <row r="316" spans="1:11" ht="15.75" customHeight="1" x14ac:dyDescent="0.25">
      <c r="A316" s="9"/>
      <c r="B316" s="9"/>
      <c r="C316" s="10"/>
      <c r="D316" s="16"/>
      <c r="E316" s="17"/>
      <c r="F316" s="14">
        <f>E315*F315</f>
        <v>311.52</v>
      </c>
      <c r="G316" s="18">
        <f>E315*G315</f>
        <v>77.88</v>
      </c>
      <c r="H316" s="14">
        <f>SUM(F316,G316)</f>
        <v>389.4</v>
      </c>
      <c r="I316" s="13">
        <f t="shared" si="36"/>
        <v>387.499728</v>
      </c>
      <c r="J316" s="14">
        <f t="shared" si="37"/>
        <v>96.874932000000001</v>
      </c>
      <c r="K316" s="14">
        <f>J316+I316</f>
        <v>484.37466000000001</v>
      </c>
    </row>
    <row r="317" spans="1:11" ht="15.75" customHeight="1" x14ac:dyDescent="0.25">
      <c r="A317" s="9" t="s">
        <v>296</v>
      </c>
      <c r="B317" s="9" t="s">
        <v>382</v>
      </c>
      <c r="C317" s="10" t="s">
        <v>383</v>
      </c>
      <c r="D317" s="11" t="s">
        <v>47</v>
      </c>
      <c r="E317" s="17">
        <v>6</v>
      </c>
      <c r="F317" s="14">
        <v>443.45</v>
      </c>
      <c r="G317" s="18">
        <v>89.31</v>
      </c>
      <c r="H317" s="14"/>
      <c r="I317" s="13">
        <f t="shared" si="36"/>
        <v>551.60745499999996</v>
      </c>
      <c r="J317" s="14">
        <f t="shared" si="37"/>
        <v>111.092709</v>
      </c>
      <c r="K317" s="14"/>
    </row>
    <row r="318" spans="1:11" ht="15.75" customHeight="1" x14ac:dyDescent="0.25">
      <c r="A318" s="9"/>
      <c r="B318" s="9"/>
      <c r="C318" s="10"/>
      <c r="D318" s="16"/>
      <c r="E318" s="17"/>
      <c r="F318" s="14">
        <f>E317*F317</f>
        <v>2660.7</v>
      </c>
      <c r="G318" s="18">
        <f>E317*G317</f>
        <v>535.86</v>
      </c>
      <c r="H318" s="14">
        <f>SUM(F318,G318)</f>
        <v>3196.56</v>
      </c>
      <c r="I318" s="13">
        <f t="shared" si="36"/>
        <v>3309.64473</v>
      </c>
      <c r="J318" s="14">
        <f t="shared" si="37"/>
        <v>666.55625399999997</v>
      </c>
      <c r="K318" s="14">
        <f>J318+I318</f>
        <v>3976.2009840000001</v>
      </c>
    </row>
    <row r="319" spans="1:11" ht="30" customHeight="1" x14ac:dyDescent="0.25">
      <c r="A319" s="9" t="s">
        <v>299</v>
      </c>
      <c r="B319" s="9" t="s">
        <v>385</v>
      </c>
      <c r="C319" s="10" t="s">
        <v>386</v>
      </c>
      <c r="D319" s="11" t="s">
        <v>47</v>
      </c>
      <c r="E319" s="17">
        <v>2</v>
      </c>
      <c r="F319" s="14">
        <v>177.6</v>
      </c>
      <c r="G319" s="18">
        <v>19.100000000000001</v>
      </c>
      <c r="H319" s="14"/>
      <c r="I319" s="13">
        <f t="shared" si="36"/>
        <v>220.91664</v>
      </c>
      <c r="J319" s="14">
        <f t="shared" si="37"/>
        <v>23.758490000000002</v>
      </c>
      <c r="K319" s="14"/>
    </row>
    <row r="320" spans="1:11" ht="15.75" customHeight="1" x14ac:dyDescent="0.25">
      <c r="A320" s="9"/>
      <c r="B320" s="9"/>
      <c r="C320" s="10"/>
      <c r="D320" s="16"/>
      <c r="E320" s="17"/>
      <c r="F320" s="14">
        <f>E319*F319</f>
        <v>355.2</v>
      </c>
      <c r="G320" s="18">
        <f>E319*G319</f>
        <v>38.200000000000003</v>
      </c>
      <c r="H320" s="14">
        <f>SUM(F320,G320)</f>
        <v>393.4</v>
      </c>
      <c r="I320" s="13">
        <f t="shared" si="36"/>
        <v>441.83328</v>
      </c>
      <c r="J320" s="14">
        <f t="shared" si="37"/>
        <v>47.516980000000004</v>
      </c>
      <c r="K320" s="14">
        <f>J320+I320</f>
        <v>489.35025999999999</v>
      </c>
    </row>
    <row r="321" spans="1:11" ht="30" customHeight="1" x14ac:dyDescent="0.25">
      <c r="A321" s="9" t="s">
        <v>302</v>
      </c>
      <c r="B321" s="9" t="s">
        <v>388</v>
      </c>
      <c r="C321" s="10" t="s">
        <v>389</v>
      </c>
      <c r="D321" s="11" t="s">
        <v>47</v>
      </c>
      <c r="E321" s="17">
        <v>22</v>
      </c>
      <c r="F321" s="14">
        <v>316.63</v>
      </c>
      <c r="G321" s="18">
        <v>30.03</v>
      </c>
      <c r="H321" s="14"/>
      <c r="I321" s="13">
        <f t="shared" si="36"/>
        <v>393.85605700000002</v>
      </c>
      <c r="J321" s="14">
        <f t="shared" si="37"/>
        <v>37.354317000000002</v>
      </c>
      <c r="K321" s="14"/>
    </row>
    <row r="322" spans="1:11" ht="15.75" customHeight="1" x14ac:dyDescent="0.25">
      <c r="A322" s="9"/>
      <c r="B322" s="9"/>
      <c r="C322" s="10"/>
      <c r="D322" s="16"/>
      <c r="E322" s="17"/>
      <c r="F322" s="14">
        <f>E321*F321</f>
        <v>6965.86</v>
      </c>
      <c r="G322" s="18">
        <f>E321*G321</f>
        <v>660.66000000000008</v>
      </c>
      <c r="H322" s="14">
        <f>SUM(F322,G322)</f>
        <v>7626.5199999999995</v>
      </c>
      <c r="I322" s="13">
        <f t="shared" si="36"/>
        <v>8664.8332539999992</v>
      </c>
      <c r="J322" s="14">
        <f t="shared" si="37"/>
        <v>821.79497400000014</v>
      </c>
      <c r="K322" s="14">
        <f>J322+I322</f>
        <v>9486.6282279999996</v>
      </c>
    </row>
    <row r="323" spans="1:11" ht="15.75" customHeight="1" x14ac:dyDescent="0.25">
      <c r="A323" s="9" t="s">
        <v>305</v>
      </c>
      <c r="B323" s="9" t="s">
        <v>391</v>
      </c>
      <c r="C323" s="10" t="s">
        <v>392</v>
      </c>
      <c r="D323" s="11" t="s">
        <v>47</v>
      </c>
      <c r="E323" s="17">
        <v>26</v>
      </c>
      <c r="F323" s="14">
        <v>50.34</v>
      </c>
      <c r="G323" s="18">
        <v>2</v>
      </c>
      <c r="H323" s="14"/>
      <c r="I323" s="13">
        <f t="shared" si="36"/>
        <v>62.617926000000004</v>
      </c>
      <c r="J323" s="14">
        <f t="shared" si="37"/>
        <v>2.4878</v>
      </c>
      <c r="K323" s="14"/>
    </row>
    <row r="324" spans="1:11" ht="15.75" customHeight="1" x14ac:dyDescent="0.25">
      <c r="A324" s="9"/>
      <c r="B324" s="9"/>
      <c r="C324" s="10"/>
      <c r="D324" s="16"/>
      <c r="E324" s="17"/>
      <c r="F324" s="14">
        <f>E323*F323</f>
        <v>1308.8400000000001</v>
      </c>
      <c r="G324" s="18">
        <f>E323*G323</f>
        <v>52</v>
      </c>
      <c r="H324" s="14">
        <f>SUM(F324,G324)</f>
        <v>1360.8400000000001</v>
      </c>
      <c r="I324" s="13">
        <f t="shared" si="36"/>
        <v>1628.0660760000003</v>
      </c>
      <c r="J324" s="14">
        <f t="shared" si="37"/>
        <v>64.6828</v>
      </c>
      <c r="K324" s="14"/>
    </row>
    <row r="325" spans="1:11" ht="15.75" customHeight="1" x14ac:dyDescent="0.25">
      <c r="A325" s="9" t="s">
        <v>308</v>
      </c>
      <c r="B325" s="9" t="s">
        <v>48</v>
      </c>
      <c r="C325" s="28" t="s">
        <v>394</v>
      </c>
      <c r="D325" s="29" t="s">
        <v>47</v>
      </c>
      <c r="E325" s="30">
        <v>3</v>
      </c>
      <c r="F325" s="31">
        <f>51.02*0.8</f>
        <v>40.816000000000003</v>
      </c>
      <c r="G325" s="31">
        <f>51.02*0.2</f>
        <v>10.204000000000001</v>
      </c>
      <c r="H325" s="31"/>
      <c r="I325" s="13">
        <f t="shared" si="36"/>
        <v>50.771022400000007</v>
      </c>
      <c r="J325" s="14">
        <f t="shared" si="37"/>
        <v>12.692755600000002</v>
      </c>
      <c r="K325" s="14">
        <f>J325+I325</f>
        <v>63.463778000000005</v>
      </c>
    </row>
    <row r="326" spans="1:11" ht="15.75" customHeight="1" x14ac:dyDescent="0.25">
      <c r="A326" s="9"/>
      <c r="B326" s="9"/>
      <c r="C326" s="10"/>
      <c r="D326" s="16"/>
      <c r="E326" s="17"/>
      <c r="F326" s="14">
        <f>E325*F325</f>
        <v>122.44800000000001</v>
      </c>
      <c r="G326" s="18">
        <f>E325*G325</f>
        <v>30.612000000000002</v>
      </c>
      <c r="H326" s="14">
        <f>SUM(F326,G326)</f>
        <v>153.06</v>
      </c>
      <c r="I326" s="13">
        <f t="shared" si="36"/>
        <v>152.31306720000001</v>
      </c>
      <c r="J326" s="14">
        <f t="shared" si="37"/>
        <v>38.078266800000002</v>
      </c>
      <c r="K326" s="14"/>
    </row>
    <row r="327" spans="1:11" ht="15.75" customHeight="1" x14ac:dyDescent="0.25">
      <c r="A327" s="9" t="s">
        <v>311</v>
      </c>
      <c r="B327" s="9" t="s">
        <v>48</v>
      </c>
      <c r="C327" s="28" t="s">
        <v>396</v>
      </c>
      <c r="D327" s="29" t="s">
        <v>47</v>
      </c>
      <c r="E327" s="30">
        <v>18</v>
      </c>
      <c r="F327" s="31">
        <f>109.89*0.8</f>
        <v>87.912000000000006</v>
      </c>
      <c r="G327" s="31">
        <f>109.89*0.2</f>
        <v>21.978000000000002</v>
      </c>
      <c r="H327" s="31"/>
      <c r="I327" s="13">
        <f t="shared" si="36"/>
        <v>109.35373680000001</v>
      </c>
      <c r="J327" s="14">
        <f t="shared" si="37"/>
        <v>27.338434200000002</v>
      </c>
      <c r="K327" s="14">
        <f>J327+I327</f>
        <v>136.692171</v>
      </c>
    </row>
    <row r="328" spans="1:11" ht="15.75" customHeight="1" x14ac:dyDescent="0.25">
      <c r="A328" s="9"/>
      <c r="B328" s="9"/>
      <c r="C328" s="10"/>
      <c r="D328" s="16"/>
      <c r="E328" s="17"/>
      <c r="F328" s="14">
        <f>E327*F327</f>
        <v>1582.4160000000002</v>
      </c>
      <c r="G328" s="18">
        <f>E327*G327</f>
        <v>395.60400000000004</v>
      </c>
      <c r="H328" s="14">
        <f>SUM(F328,G328)</f>
        <v>1978.0200000000002</v>
      </c>
      <c r="I328" s="13">
        <f t="shared" si="36"/>
        <v>1968.3672624000003</v>
      </c>
      <c r="J328" s="14">
        <f t="shared" si="37"/>
        <v>492.09181560000007</v>
      </c>
      <c r="K328" s="14"/>
    </row>
    <row r="329" spans="1:11" ht="15.75" customHeight="1" x14ac:dyDescent="0.25">
      <c r="A329" s="9" t="s">
        <v>314</v>
      </c>
      <c r="B329" s="9" t="s">
        <v>48</v>
      </c>
      <c r="C329" s="28" t="s">
        <v>397</v>
      </c>
      <c r="D329" s="29" t="s">
        <v>47</v>
      </c>
      <c r="E329" s="30">
        <v>2</v>
      </c>
      <c r="F329" s="31">
        <f>377.78*0.8</f>
        <v>302.22399999999999</v>
      </c>
      <c r="G329" s="31">
        <f>377.78*0.2</f>
        <v>75.555999999999997</v>
      </c>
      <c r="H329" s="31"/>
      <c r="I329" s="13">
        <f t="shared" si="36"/>
        <v>375.93643359999999</v>
      </c>
      <c r="J329" s="14">
        <f t="shared" si="37"/>
        <v>93.984108399999997</v>
      </c>
      <c r="K329" s="14">
        <f>J329+I329</f>
        <v>469.92054199999995</v>
      </c>
    </row>
    <row r="330" spans="1:11" ht="15.75" customHeight="1" x14ac:dyDescent="0.25">
      <c r="A330" s="9"/>
      <c r="B330" s="9"/>
      <c r="C330" s="10"/>
      <c r="D330" s="16"/>
      <c r="E330" s="17"/>
      <c r="F330" s="14">
        <f>E329*F329</f>
        <v>604.44799999999998</v>
      </c>
      <c r="G330" s="18">
        <f>E329*G329</f>
        <v>151.11199999999999</v>
      </c>
      <c r="H330" s="14">
        <f>SUM(F330,G330)</f>
        <v>755.56</v>
      </c>
      <c r="I330" s="13">
        <f t="shared" si="36"/>
        <v>751.87286719999997</v>
      </c>
      <c r="J330" s="14">
        <f t="shared" si="37"/>
        <v>187.96821679999999</v>
      </c>
      <c r="K330" s="14"/>
    </row>
    <row r="331" spans="1:11" ht="15.75" customHeight="1" x14ac:dyDescent="0.25">
      <c r="A331" s="9" t="s">
        <v>317</v>
      </c>
      <c r="B331" s="9" t="s">
        <v>48</v>
      </c>
      <c r="C331" s="28" t="s">
        <v>399</v>
      </c>
      <c r="D331" s="29" t="s">
        <v>47</v>
      </c>
      <c r="E331" s="30">
        <v>16</v>
      </c>
      <c r="F331" s="31">
        <f>31.51*0.8</f>
        <v>25.208000000000002</v>
      </c>
      <c r="G331" s="31">
        <f>31.51*0.2</f>
        <v>6.3020000000000005</v>
      </c>
      <c r="H331" s="31"/>
      <c r="I331" s="13">
        <f t="shared" si="36"/>
        <v>31.356231200000003</v>
      </c>
      <c r="J331" s="14">
        <f t="shared" si="37"/>
        <v>7.8390578000000009</v>
      </c>
      <c r="K331" s="14">
        <f>J331+I331</f>
        <v>39.195289000000002</v>
      </c>
    </row>
    <row r="332" spans="1:11" ht="15.75" customHeight="1" x14ac:dyDescent="0.25">
      <c r="A332" s="9"/>
      <c r="B332" s="9"/>
      <c r="C332" s="10"/>
      <c r="D332" s="16"/>
      <c r="E332" s="17"/>
      <c r="F332" s="14">
        <f>E331*F331</f>
        <v>403.32800000000003</v>
      </c>
      <c r="G332" s="18">
        <f>E331*G331</f>
        <v>100.83200000000001</v>
      </c>
      <c r="H332" s="14">
        <f>SUM(F332,G332)</f>
        <v>504.16</v>
      </c>
      <c r="I332" s="13">
        <f t="shared" si="36"/>
        <v>501.69969920000005</v>
      </c>
      <c r="J332" s="14">
        <f t="shared" si="37"/>
        <v>125.42492480000001</v>
      </c>
      <c r="K332" s="14"/>
    </row>
    <row r="333" spans="1:11" ht="15.75" customHeight="1" x14ac:dyDescent="0.25">
      <c r="A333" s="9" t="s">
        <v>320</v>
      </c>
      <c r="B333" s="9" t="s">
        <v>400</v>
      </c>
      <c r="C333" s="10" t="s">
        <v>401</v>
      </c>
      <c r="D333" s="11" t="s">
        <v>47</v>
      </c>
      <c r="E333" s="17">
        <v>20</v>
      </c>
      <c r="F333" s="14">
        <v>41.08</v>
      </c>
      <c r="G333" s="18">
        <v>5.79</v>
      </c>
      <c r="H333" s="14"/>
      <c r="I333" s="13">
        <f t="shared" si="36"/>
        <v>51.099412000000001</v>
      </c>
      <c r="J333" s="14">
        <f t="shared" si="37"/>
        <v>7.2021810000000004</v>
      </c>
      <c r="K333" s="14">
        <f>J333+I333</f>
        <v>58.301593000000004</v>
      </c>
    </row>
    <row r="334" spans="1:11" ht="15.75" customHeight="1" x14ac:dyDescent="0.25">
      <c r="A334" s="9"/>
      <c r="B334" s="9"/>
      <c r="C334" s="10"/>
      <c r="D334" s="16"/>
      <c r="E334" s="17"/>
      <c r="F334" s="14">
        <f>E333*F333</f>
        <v>821.59999999999991</v>
      </c>
      <c r="G334" s="18">
        <f>E333*G333</f>
        <v>115.8</v>
      </c>
      <c r="H334" s="14">
        <f>SUM(F334,G334)</f>
        <v>937.39999999999986</v>
      </c>
      <c r="I334" s="13">
        <f t="shared" si="36"/>
        <v>1021.9882399999999</v>
      </c>
      <c r="J334" s="14">
        <f t="shared" si="37"/>
        <v>144.04362</v>
      </c>
      <c r="K334" s="14"/>
    </row>
    <row r="335" spans="1:11" ht="15.75" customHeight="1" x14ac:dyDescent="0.25">
      <c r="A335" s="9" t="s">
        <v>323</v>
      </c>
      <c r="B335" s="9" t="s">
        <v>402</v>
      </c>
      <c r="C335" s="10" t="s">
        <v>403</v>
      </c>
      <c r="D335" s="11" t="s">
        <v>47</v>
      </c>
      <c r="E335" s="17">
        <v>1</v>
      </c>
      <c r="F335" s="14">
        <v>632.15</v>
      </c>
      <c r="G335" s="18">
        <v>45.14</v>
      </c>
      <c r="H335" s="14"/>
      <c r="I335" s="13">
        <f t="shared" si="36"/>
        <v>786.33138499999995</v>
      </c>
      <c r="J335" s="14">
        <f t="shared" si="37"/>
        <v>56.149646000000004</v>
      </c>
      <c r="K335" s="14">
        <f>J335+I335</f>
        <v>842.48103099999992</v>
      </c>
    </row>
    <row r="336" spans="1:11" ht="15.75" customHeight="1" x14ac:dyDescent="0.25">
      <c r="A336" s="9"/>
      <c r="B336" s="9"/>
      <c r="C336" s="10"/>
      <c r="D336" s="16"/>
      <c r="E336" s="17"/>
      <c r="F336" s="14">
        <f>E335*F335</f>
        <v>632.15</v>
      </c>
      <c r="G336" s="18">
        <f>E335*G335</f>
        <v>45.14</v>
      </c>
      <c r="H336" s="14">
        <f>SUM(F336,G336)</f>
        <v>677.29</v>
      </c>
      <c r="I336" s="13">
        <f t="shared" si="36"/>
        <v>786.33138499999995</v>
      </c>
      <c r="J336" s="14">
        <f t="shared" si="37"/>
        <v>56.149646000000004</v>
      </c>
      <c r="K336" s="14"/>
    </row>
    <row r="337" spans="1:11" ht="45" customHeight="1" x14ac:dyDescent="0.25">
      <c r="A337" s="9" t="s">
        <v>326</v>
      </c>
      <c r="B337" s="9" t="s">
        <v>404</v>
      </c>
      <c r="C337" s="10" t="s">
        <v>405</v>
      </c>
      <c r="D337" s="11" t="s">
        <v>47</v>
      </c>
      <c r="E337" s="17">
        <v>8</v>
      </c>
      <c r="F337" s="14">
        <v>403.19</v>
      </c>
      <c r="G337" s="18">
        <v>20.81</v>
      </c>
      <c r="H337" s="14"/>
      <c r="I337" s="13">
        <f t="shared" si="36"/>
        <v>501.52804099999997</v>
      </c>
      <c r="J337" s="14">
        <f t="shared" si="37"/>
        <v>25.885558999999997</v>
      </c>
      <c r="K337" s="14">
        <f>J337+I337</f>
        <v>527.41359999999997</v>
      </c>
    </row>
    <row r="338" spans="1:11" ht="15.75" customHeight="1" x14ac:dyDescent="0.25">
      <c r="A338" s="9"/>
      <c r="B338" s="9"/>
      <c r="C338" s="10"/>
      <c r="D338" s="16"/>
      <c r="E338" s="17"/>
      <c r="F338" s="14">
        <f>E337*F337</f>
        <v>3225.52</v>
      </c>
      <c r="G338" s="18">
        <f>E337*G337</f>
        <v>166.48</v>
      </c>
      <c r="H338" s="14">
        <f>SUM(F338,G338)</f>
        <v>3392</v>
      </c>
      <c r="I338" s="13">
        <f t="shared" si="36"/>
        <v>4012.2243279999998</v>
      </c>
      <c r="J338" s="14">
        <f t="shared" si="37"/>
        <v>207.08447199999998</v>
      </c>
      <c r="K338" s="14"/>
    </row>
    <row r="339" spans="1:11" ht="15.75" customHeight="1" x14ac:dyDescent="0.25">
      <c r="A339" s="9" t="s">
        <v>329</v>
      </c>
      <c r="B339" s="9" t="s">
        <v>406</v>
      </c>
      <c r="C339" s="10" t="s">
        <v>407</v>
      </c>
      <c r="D339" s="11" t="s">
        <v>47</v>
      </c>
      <c r="E339" s="17">
        <v>10</v>
      </c>
      <c r="F339" s="14">
        <v>86.05</v>
      </c>
      <c r="G339" s="18">
        <v>2</v>
      </c>
      <c r="H339" s="14"/>
      <c r="I339" s="13">
        <f t="shared" ref="I339:I365" si="38">F339*1.2439</f>
        <v>107.037595</v>
      </c>
      <c r="J339" s="14">
        <f t="shared" ref="J339:J365" si="39">G339*1.2439</f>
        <v>2.4878</v>
      </c>
      <c r="K339" s="14">
        <f>J339+I339</f>
        <v>109.525395</v>
      </c>
    </row>
    <row r="340" spans="1:11" ht="15.75" customHeight="1" x14ac:dyDescent="0.25">
      <c r="A340" s="9"/>
      <c r="B340" s="9"/>
      <c r="C340" s="10"/>
      <c r="D340" s="16"/>
      <c r="E340" s="17"/>
      <c r="F340" s="14">
        <f>E339*F339</f>
        <v>860.5</v>
      </c>
      <c r="G340" s="18">
        <f>E339*G339</f>
        <v>20</v>
      </c>
      <c r="H340" s="14">
        <f>SUM(F340,G340)</f>
        <v>880.5</v>
      </c>
      <c r="I340" s="13">
        <f t="shared" si="38"/>
        <v>1070.3759500000001</v>
      </c>
      <c r="J340" s="14">
        <f t="shared" si="39"/>
        <v>24.878</v>
      </c>
      <c r="K340" s="14"/>
    </row>
    <row r="341" spans="1:11" ht="30" customHeight="1" x14ac:dyDescent="0.25">
      <c r="A341" s="9" t="s">
        <v>332</v>
      </c>
      <c r="B341" s="9" t="s">
        <v>48</v>
      </c>
      <c r="C341" s="28" t="s">
        <v>408</v>
      </c>
      <c r="D341" s="29" t="s">
        <v>47</v>
      </c>
      <c r="E341" s="30">
        <v>5</v>
      </c>
      <c r="F341" s="31">
        <f>365.37*0.8</f>
        <v>292.29599999999999</v>
      </c>
      <c r="G341" s="31">
        <f>365.37*0.2</f>
        <v>73.073999999999998</v>
      </c>
      <c r="H341" s="31"/>
      <c r="I341" s="13">
        <f t="shared" si="38"/>
        <v>363.58699439999998</v>
      </c>
      <c r="J341" s="14">
        <f t="shared" si="39"/>
        <v>90.896748599999995</v>
      </c>
      <c r="K341" s="14">
        <f>J341+I341</f>
        <v>454.483743</v>
      </c>
    </row>
    <row r="342" spans="1:11" ht="15.75" customHeight="1" x14ac:dyDescent="0.25">
      <c r="A342" s="9"/>
      <c r="B342" s="9"/>
      <c r="C342" s="10"/>
      <c r="D342" s="16"/>
      <c r="E342" s="17"/>
      <c r="F342" s="14">
        <f>E341*F341</f>
        <v>1461.48</v>
      </c>
      <c r="G342" s="18">
        <f>E341*G341</f>
        <v>365.37</v>
      </c>
      <c r="H342" s="14">
        <f>SUM(F342,G342)</f>
        <v>1826.85</v>
      </c>
      <c r="I342" s="13">
        <f t="shared" si="38"/>
        <v>1817.934972</v>
      </c>
      <c r="J342" s="14">
        <f t="shared" si="39"/>
        <v>454.483743</v>
      </c>
      <c r="K342" s="14"/>
    </row>
    <row r="343" spans="1:11" ht="15.75" customHeight="1" x14ac:dyDescent="0.25">
      <c r="A343" s="9" t="s">
        <v>335</v>
      </c>
      <c r="B343" s="9" t="s">
        <v>48</v>
      </c>
      <c r="C343" s="28" t="s">
        <v>409</v>
      </c>
      <c r="D343" s="29" t="s">
        <v>47</v>
      </c>
      <c r="E343" s="30">
        <v>2</v>
      </c>
      <c r="F343" s="31">
        <f>191.68*0.8</f>
        <v>153.34400000000002</v>
      </c>
      <c r="G343" s="31">
        <f>191.68*0.2</f>
        <v>38.336000000000006</v>
      </c>
      <c r="H343" s="31"/>
      <c r="I343" s="13">
        <f t="shared" si="38"/>
        <v>190.74460160000004</v>
      </c>
      <c r="J343" s="14">
        <f t="shared" si="39"/>
        <v>47.68615040000001</v>
      </c>
      <c r="K343" s="14">
        <f>J343+I343</f>
        <v>238.43075200000004</v>
      </c>
    </row>
    <row r="344" spans="1:11" ht="15.75" customHeight="1" x14ac:dyDescent="0.25">
      <c r="A344" s="9"/>
      <c r="B344" s="9"/>
      <c r="C344" s="10"/>
      <c r="D344" s="16"/>
      <c r="E344" s="17"/>
      <c r="F344" s="14">
        <f>E343*F343</f>
        <v>306.68800000000005</v>
      </c>
      <c r="G344" s="18">
        <f>E343*G343</f>
        <v>76.672000000000011</v>
      </c>
      <c r="H344" s="14">
        <f>SUM(F344,G344)</f>
        <v>383.36000000000007</v>
      </c>
      <c r="I344" s="13">
        <f t="shared" si="38"/>
        <v>381.48920320000008</v>
      </c>
      <c r="J344" s="14">
        <f t="shared" si="39"/>
        <v>95.372300800000019</v>
      </c>
      <c r="K344" s="14"/>
    </row>
    <row r="345" spans="1:11" ht="15.75" customHeight="1" x14ac:dyDescent="0.25">
      <c r="A345" s="9" t="s">
        <v>337</v>
      </c>
      <c r="B345" s="9" t="s">
        <v>410</v>
      </c>
      <c r="C345" s="10" t="s">
        <v>411</v>
      </c>
      <c r="D345" s="11" t="s">
        <v>47</v>
      </c>
      <c r="E345" s="17">
        <v>9</v>
      </c>
      <c r="F345" s="14">
        <v>52.11</v>
      </c>
      <c r="G345" s="18">
        <v>11.85</v>
      </c>
      <c r="H345" s="14"/>
      <c r="I345" s="13">
        <f t="shared" si="38"/>
        <v>64.819629000000006</v>
      </c>
      <c r="J345" s="14">
        <f t="shared" si="39"/>
        <v>14.740214999999999</v>
      </c>
      <c r="K345" s="14">
        <f>J345+I345</f>
        <v>79.559843999999998</v>
      </c>
    </row>
    <row r="346" spans="1:11" ht="15.75" customHeight="1" x14ac:dyDescent="0.25">
      <c r="A346" s="9"/>
      <c r="B346" s="9"/>
      <c r="C346" s="10"/>
      <c r="D346" s="16"/>
      <c r="E346" s="17"/>
      <c r="F346" s="14">
        <f>E345*F345</f>
        <v>468.99</v>
      </c>
      <c r="G346" s="18">
        <f>E345*G345</f>
        <v>106.64999999999999</v>
      </c>
      <c r="H346" s="14">
        <f>SUM(F346,G346)</f>
        <v>575.64</v>
      </c>
      <c r="I346" s="13">
        <f t="shared" si="38"/>
        <v>583.37666100000001</v>
      </c>
      <c r="J346" s="14">
        <f t="shared" si="39"/>
        <v>132.661935</v>
      </c>
      <c r="K346" s="14"/>
    </row>
    <row r="347" spans="1:11" ht="15.75" customHeight="1" x14ac:dyDescent="0.25">
      <c r="A347" s="9" t="s">
        <v>339</v>
      </c>
      <c r="B347" s="9" t="s">
        <v>406</v>
      </c>
      <c r="C347" s="10" t="s">
        <v>412</v>
      </c>
      <c r="D347" s="11" t="s">
        <v>47</v>
      </c>
      <c r="E347" s="17">
        <v>6</v>
      </c>
      <c r="F347" s="14">
        <v>86.05</v>
      </c>
      <c r="G347" s="18">
        <v>2</v>
      </c>
      <c r="H347" s="14"/>
      <c r="I347" s="13">
        <f t="shared" si="38"/>
        <v>107.037595</v>
      </c>
      <c r="J347" s="14">
        <f t="shared" si="39"/>
        <v>2.4878</v>
      </c>
      <c r="K347" s="14">
        <f>J347+I347</f>
        <v>109.525395</v>
      </c>
    </row>
    <row r="348" spans="1:11" ht="15.75" customHeight="1" x14ac:dyDescent="0.25">
      <c r="A348" s="9"/>
      <c r="B348" s="9"/>
      <c r="C348" s="10"/>
      <c r="D348" s="16"/>
      <c r="E348" s="17"/>
      <c r="F348" s="14">
        <f>E347*F347</f>
        <v>516.29999999999995</v>
      </c>
      <c r="G348" s="18">
        <f>E347*G347</f>
        <v>12</v>
      </c>
      <c r="H348" s="14">
        <f>SUM(F348,G348)</f>
        <v>528.29999999999995</v>
      </c>
      <c r="I348" s="13">
        <f t="shared" si="38"/>
        <v>642.22556999999995</v>
      </c>
      <c r="J348" s="14">
        <f t="shared" si="39"/>
        <v>14.9268</v>
      </c>
      <c r="K348" s="14"/>
    </row>
    <row r="349" spans="1:11" ht="15.75" customHeight="1" x14ac:dyDescent="0.25">
      <c r="A349" s="9" t="s">
        <v>342</v>
      </c>
      <c r="B349" s="9" t="s">
        <v>48</v>
      </c>
      <c r="C349" s="28" t="s">
        <v>413</v>
      </c>
      <c r="D349" s="29" t="s">
        <v>47</v>
      </c>
      <c r="E349" s="30">
        <v>8</v>
      </c>
      <c r="F349" s="31">
        <f>540.71*0.8</f>
        <v>432.56800000000004</v>
      </c>
      <c r="G349" s="31">
        <f>540.71*0.2</f>
        <v>108.14200000000001</v>
      </c>
      <c r="H349" s="31"/>
      <c r="I349" s="13">
        <f t="shared" si="38"/>
        <v>538.07133520000002</v>
      </c>
      <c r="J349" s="14">
        <f t="shared" si="39"/>
        <v>134.51783380000001</v>
      </c>
      <c r="K349" s="14">
        <f>J349+I349</f>
        <v>672.58916900000008</v>
      </c>
    </row>
    <row r="350" spans="1:11" ht="15.75" customHeight="1" x14ac:dyDescent="0.25">
      <c r="A350" s="9"/>
      <c r="B350" s="9"/>
      <c r="C350" s="10"/>
      <c r="D350" s="16"/>
      <c r="E350" s="17"/>
      <c r="F350" s="14">
        <f>E349*F349</f>
        <v>3460.5440000000003</v>
      </c>
      <c r="G350" s="18">
        <f>E349*G349</f>
        <v>865.13600000000008</v>
      </c>
      <c r="H350" s="14">
        <f>SUM(F350,G350)</f>
        <v>4325.68</v>
      </c>
      <c r="I350" s="13">
        <f t="shared" si="38"/>
        <v>4304.5706816000002</v>
      </c>
      <c r="J350" s="14">
        <f t="shared" si="39"/>
        <v>1076.1426704</v>
      </c>
      <c r="K350" s="14"/>
    </row>
    <row r="351" spans="1:11" ht="15.75" customHeight="1" x14ac:dyDescent="0.25">
      <c r="A351" s="9" t="s">
        <v>344</v>
      </c>
      <c r="B351" s="9" t="s">
        <v>414</v>
      </c>
      <c r="C351" s="10" t="s">
        <v>415</v>
      </c>
      <c r="D351" s="11" t="s">
        <v>47</v>
      </c>
      <c r="E351" s="17">
        <v>2</v>
      </c>
      <c r="F351" s="14">
        <v>189.91</v>
      </c>
      <c r="G351" s="18">
        <v>5.53</v>
      </c>
      <c r="H351" s="14"/>
      <c r="I351" s="13">
        <f t="shared" si="38"/>
        <v>236.229049</v>
      </c>
      <c r="J351" s="14">
        <f t="shared" si="39"/>
        <v>6.8787670000000007</v>
      </c>
      <c r="K351" s="14">
        <f>J351+I351</f>
        <v>243.10781600000001</v>
      </c>
    </row>
    <row r="352" spans="1:11" ht="15.75" customHeight="1" x14ac:dyDescent="0.25">
      <c r="A352" s="9"/>
      <c r="B352" s="9"/>
      <c r="C352" s="10"/>
      <c r="D352" s="16"/>
      <c r="E352" s="17"/>
      <c r="F352" s="14">
        <f>E351*F351</f>
        <v>379.82</v>
      </c>
      <c r="G352" s="18">
        <f>E351*G351</f>
        <v>11.06</v>
      </c>
      <c r="H352" s="14">
        <f>SUM(F352,G352)</f>
        <v>390.88</v>
      </c>
      <c r="I352" s="13">
        <f t="shared" si="38"/>
        <v>472.45809800000001</v>
      </c>
      <c r="J352" s="14">
        <f t="shared" si="39"/>
        <v>13.757534000000001</v>
      </c>
      <c r="K352" s="14"/>
    </row>
    <row r="353" spans="1:11" ht="45" customHeight="1" x14ac:dyDescent="0.25">
      <c r="A353" s="9" t="s">
        <v>346</v>
      </c>
      <c r="B353" s="9" t="s">
        <v>385</v>
      </c>
      <c r="C353" s="10" t="s">
        <v>416</v>
      </c>
      <c r="D353" s="11" t="s">
        <v>47</v>
      </c>
      <c r="E353" s="17">
        <v>2</v>
      </c>
      <c r="F353" s="14">
        <v>177.6</v>
      </c>
      <c r="G353" s="18">
        <v>19.100000000000001</v>
      </c>
      <c r="H353" s="14"/>
      <c r="I353" s="13">
        <f t="shared" si="38"/>
        <v>220.91664</v>
      </c>
      <c r="J353" s="14">
        <f t="shared" si="39"/>
        <v>23.758490000000002</v>
      </c>
      <c r="K353" s="14">
        <f>J353+I353</f>
        <v>244.67513</v>
      </c>
    </row>
    <row r="354" spans="1:11" ht="15.75" customHeight="1" x14ac:dyDescent="0.25">
      <c r="A354" s="9"/>
      <c r="B354" s="9"/>
      <c r="C354" s="10"/>
      <c r="D354" s="16"/>
      <c r="E354" s="17"/>
      <c r="F354" s="14">
        <f>E353*F353</f>
        <v>355.2</v>
      </c>
      <c r="G354" s="18">
        <f>E353*G353</f>
        <v>38.200000000000003</v>
      </c>
      <c r="H354" s="14">
        <f>SUM(F354,G354)</f>
        <v>393.4</v>
      </c>
      <c r="I354" s="13">
        <f t="shared" si="38"/>
        <v>441.83328</v>
      </c>
      <c r="J354" s="14">
        <f t="shared" si="39"/>
        <v>47.516980000000004</v>
      </c>
      <c r="K354" s="14"/>
    </row>
    <row r="355" spans="1:11" ht="15.75" customHeight="1" x14ac:dyDescent="0.25">
      <c r="A355" s="9" t="s">
        <v>349</v>
      </c>
      <c r="B355" s="9" t="s">
        <v>48</v>
      </c>
      <c r="C355" s="28" t="s">
        <v>417</v>
      </c>
      <c r="D355" s="29" t="s">
        <v>47</v>
      </c>
      <c r="E355" s="30">
        <v>2</v>
      </c>
      <c r="F355" s="31">
        <f>540.71*0.8</f>
        <v>432.56800000000004</v>
      </c>
      <c r="G355" s="31">
        <f>540.71*0.2</f>
        <v>108.14200000000001</v>
      </c>
      <c r="H355" s="31"/>
      <c r="I355" s="13">
        <f t="shared" si="38"/>
        <v>538.07133520000002</v>
      </c>
      <c r="J355" s="14">
        <f t="shared" si="39"/>
        <v>134.51783380000001</v>
      </c>
      <c r="K355" s="14">
        <f>J355+I355</f>
        <v>672.58916900000008</v>
      </c>
    </row>
    <row r="356" spans="1:11" ht="15.75" customHeight="1" x14ac:dyDescent="0.25">
      <c r="A356" s="9"/>
      <c r="B356" s="9"/>
      <c r="C356" s="10"/>
      <c r="D356" s="16"/>
      <c r="E356" s="17"/>
      <c r="F356" s="14">
        <f>E355*F355</f>
        <v>865.13600000000008</v>
      </c>
      <c r="G356" s="18">
        <f>E355*G355</f>
        <v>216.28400000000002</v>
      </c>
      <c r="H356" s="14">
        <f>SUM(F356,G356)</f>
        <v>1081.42</v>
      </c>
      <c r="I356" s="13">
        <f t="shared" si="38"/>
        <v>1076.1426704</v>
      </c>
      <c r="J356" s="14">
        <f t="shared" si="39"/>
        <v>269.03566760000001</v>
      </c>
      <c r="K356" s="14"/>
    </row>
    <row r="357" spans="1:11" ht="15.75" customHeight="1" x14ac:dyDescent="0.25">
      <c r="A357" s="9" t="s">
        <v>352</v>
      </c>
      <c r="B357" s="9" t="s">
        <v>48</v>
      </c>
      <c r="C357" s="28" t="s">
        <v>418</v>
      </c>
      <c r="D357" s="29" t="s">
        <v>47</v>
      </c>
      <c r="E357" s="30">
        <v>2</v>
      </c>
      <c r="F357" s="31">
        <f>3051.97*0.8</f>
        <v>2441.576</v>
      </c>
      <c r="G357" s="31">
        <f>3051.97*0.2</f>
        <v>610.39400000000001</v>
      </c>
      <c r="H357" s="31"/>
      <c r="I357" s="13">
        <f t="shared" si="38"/>
        <v>3037.0763864</v>
      </c>
      <c r="J357" s="14">
        <f t="shared" si="39"/>
        <v>759.26909660000001</v>
      </c>
      <c r="K357" s="14">
        <f>J357+I357</f>
        <v>3796.3454830000001</v>
      </c>
    </row>
    <row r="358" spans="1:11" ht="15.75" customHeight="1" x14ac:dyDescent="0.25">
      <c r="A358" s="9"/>
      <c r="B358" s="9"/>
      <c r="C358" s="10"/>
      <c r="D358" s="16"/>
      <c r="E358" s="17"/>
      <c r="F358" s="14">
        <f>E357*F357</f>
        <v>4883.152</v>
      </c>
      <c r="G358" s="18">
        <f>E357*G357</f>
        <v>1220.788</v>
      </c>
      <c r="H358" s="14">
        <f>SUM(F358,G358)</f>
        <v>6103.9400000000005</v>
      </c>
      <c r="I358" s="13">
        <f t="shared" si="38"/>
        <v>6074.1527728000001</v>
      </c>
      <c r="J358" s="14">
        <f t="shared" si="39"/>
        <v>1518.5381932</v>
      </c>
      <c r="K358" s="14"/>
    </row>
    <row r="359" spans="1:11" ht="30" customHeight="1" x14ac:dyDescent="0.25">
      <c r="A359" s="9" t="s">
        <v>354</v>
      </c>
      <c r="B359" s="9" t="s">
        <v>48</v>
      </c>
      <c r="C359" s="28" t="s">
        <v>419</v>
      </c>
      <c r="D359" s="29" t="s">
        <v>47</v>
      </c>
      <c r="E359" s="30">
        <v>16</v>
      </c>
      <c r="F359" s="31">
        <f>31.45*0.8</f>
        <v>25.16</v>
      </c>
      <c r="G359" s="31">
        <f>31.45*0.2</f>
        <v>6.29</v>
      </c>
      <c r="H359" s="31"/>
      <c r="I359" s="13">
        <f t="shared" si="38"/>
        <v>31.296524000000002</v>
      </c>
      <c r="J359" s="14">
        <f t="shared" si="39"/>
        <v>7.8241310000000004</v>
      </c>
      <c r="K359" s="14">
        <f>J359+I359</f>
        <v>39.120654999999999</v>
      </c>
    </row>
    <row r="360" spans="1:11" ht="15.75" customHeight="1" x14ac:dyDescent="0.25">
      <c r="A360" s="9"/>
      <c r="B360" s="9"/>
      <c r="C360" s="10"/>
      <c r="D360" s="16"/>
      <c r="E360" s="17"/>
      <c r="F360" s="14">
        <f>E359*F359</f>
        <v>402.56</v>
      </c>
      <c r="G360" s="18">
        <f>E359*G359</f>
        <v>100.64</v>
      </c>
      <c r="H360" s="14">
        <f>SUM(F360,G360)</f>
        <v>503.2</v>
      </c>
      <c r="I360" s="13">
        <f t="shared" si="38"/>
        <v>500.74438400000003</v>
      </c>
      <c r="J360" s="14">
        <f t="shared" si="39"/>
        <v>125.18609600000001</v>
      </c>
      <c r="K360" s="14"/>
    </row>
    <row r="361" spans="1:11" ht="30" customHeight="1" x14ac:dyDescent="0.25">
      <c r="A361" s="9" t="s">
        <v>356</v>
      </c>
      <c r="B361" s="9" t="s">
        <v>420</v>
      </c>
      <c r="C361" s="10" t="s">
        <v>421</v>
      </c>
      <c r="D361" s="11" t="s">
        <v>47</v>
      </c>
      <c r="E361" s="17">
        <v>2</v>
      </c>
      <c r="F361" s="14">
        <v>37.33</v>
      </c>
      <c r="G361" s="18">
        <v>3.07</v>
      </c>
      <c r="H361" s="14"/>
      <c r="I361" s="13">
        <f t="shared" si="38"/>
        <v>46.434787</v>
      </c>
      <c r="J361" s="14">
        <f t="shared" si="39"/>
        <v>3.8187729999999998</v>
      </c>
      <c r="K361" s="14">
        <f>J361+I361</f>
        <v>50.25356</v>
      </c>
    </row>
    <row r="362" spans="1:11" ht="15.75" customHeight="1" x14ac:dyDescent="0.25">
      <c r="A362" s="9"/>
      <c r="B362" s="9"/>
      <c r="C362" s="10"/>
      <c r="D362" s="16"/>
      <c r="E362" s="17"/>
      <c r="F362" s="14">
        <f>E361*F361</f>
        <v>74.66</v>
      </c>
      <c r="G362" s="18">
        <f>E361*G361</f>
        <v>6.14</v>
      </c>
      <c r="H362" s="14">
        <f>SUM(F362,G362)</f>
        <v>80.8</v>
      </c>
      <c r="I362" s="13">
        <f t="shared" si="38"/>
        <v>92.869574</v>
      </c>
      <c r="J362" s="14">
        <f t="shared" si="39"/>
        <v>7.6375459999999995</v>
      </c>
      <c r="K362" s="14"/>
    </row>
    <row r="363" spans="1:11" ht="15.75" customHeight="1" x14ac:dyDescent="0.25">
      <c r="A363" s="9" t="s">
        <v>359</v>
      </c>
      <c r="B363" s="9" t="s">
        <v>272</v>
      </c>
      <c r="C363" s="10" t="s">
        <v>422</v>
      </c>
      <c r="D363" s="11" t="s">
        <v>47</v>
      </c>
      <c r="E363" s="17">
        <v>9</v>
      </c>
      <c r="F363" s="14">
        <v>78.19</v>
      </c>
      <c r="G363" s="18">
        <v>7.54</v>
      </c>
      <c r="H363" s="14"/>
      <c r="I363" s="13">
        <f t="shared" si="38"/>
        <v>97.260541000000003</v>
      </c>
      <c r="J363" s="14">
        <f t="shared" si="39"/>
        <v>9.3790060000000004</v>
      </c>
      <c r="K363" s="14">
        <f>J363+I363</f>
        <v>106.63954700000001</v>
      </c>
    </row>
    <row r="364" spans="1:11" ht="15.75" customHeight="1" x14ac:dyDescent="0.25">
      <c r="A364" s="9"/>
      <c r="B364" s="9"/>
      <c r="C364" s="10"/>
      <c r="D364" s="16"/>
      <c r="E364" s="17"/>
      <c r="F364" s="14">
        <f>E363*F363</f>
        <v>703.71</v>
      </c>
      <c r="G364" s="18">
        <f>E363*G363</f>
        <v>67.86</v>
      </c>
      <c r="H364" s="14">
        <f>SUM(F364,G364)</f>
        <v>771.57</v>
      </c>
      <c r="I364" s="13">
        <f t="shared" si="38"/>
        <v>875.34486900000002</v>
      </c>
      <c r="J364" s="14">
        <f t="shared" si="39"/>
        <v>84.411053999999993</v>
      </c>
      <c r="K364" s="14"/>
    </row>
    <row r="365" spans="1:11" ht="15.75" customHeight="1" x14ac:dyDescent="0.25">
      <c r="A365" s="9"/>
      <c r="B365" s="9"/>
      <c r="C365" s="10"/>
      <c r="D365" s="16"/>
      <c r="E365" s="17"/>
      <c r="F365" s="14"/>
      <c r="G365" s="18"/>
      <c r="H365" s="14"/>
      <c r="I365" s="13">
        <f t="shared" si="38"/>
        <v>0</v>
      </c>
      <c r="J365" s="14">
        <f t="shared" si="39"/>
        <v>0</v>
      </c>
      <c r="K365" s="14">
        <f>J365+I365</f>
        <v>0</v>
      </c>
    </row>
    <row r="366" spans="1:11" ht="15.75" customHeight="1" x14ac:dyDescent="0.25">
      <c r="A366" s="9"/>
      <c r="B366" s="9"/>
      <c r="C366" s="21" t="s">
        <v>423</v>
      </c>
      <c r="D366" s="16"/>
      <c r="E366" s="17"/>
      <c r="F366" s="14">
        <f t="shared" ref="F366:J366" si="40">F364+F362+F360+F358+F356+F354+F352+F350+F348+F346+F344+F342+F340+F338+F336+F334+F332+F330+F328+F326+F324+F322+F320+F318+F316+F314+F312+F310+F308</f>
        <v>40786.635999999999</v>
      </c>
      <c r="G366" s="14">
        <f t="shared" si="40"/>
        <v>7167.9339999999993</v>
      </c>
      <c r="H366" s="14">
        <f>SUM(F366,G366)</f>
        <v>47954.57</v>
      </c>
      <c r="I366" s="14">
        <f t="shared" si="40"/>
        <v>50734.496520400004</v>
      </c>
      <c r="J366" s="14">
        <f t="shared" si="40"/>
        <v>8916.1931026000002</v>
      </c>
      <c r="K366" s="14">
        <f>SUM(I366,J366)</f>
        <v>59650.689623000006</v>
      </c>
    </row>
    <row r="367" spans="1:11" ht="15.75" customHeight="1" x14ac:dyDescent="0.25">
      <c r="A367" s="9"/>
      <c r="B367" s="9"/>
      <c r="C367" s="10"/>
      <c r="D367" s="16"/>
      <c r="E367" s="17"/>
      <c r="F367" s="14"/>
      <c r="G367" s="18"/>
      <c r="H367" s="14"/>
      <c r="I367" s="14"/>
      <c r="J367" s="18"/>
      <c r="K367" s="14"/>
    </row>
    <row r="368" spans="1:11" ht="15.75" customHeight="1" x14ac:dyDescent="0.25">
      <c r="A368" s="3" t="s">
        <v>366</v>
      </c>
      <c r="B368" s="3"/>
      <c r="C368" s="4" t="s">
        <v>425</v>
      </c>
      <c r="D368" s="24"/>
      <c r="E368" s="22"/>
      <c r="F368" s="8"/>
      <c r="G368" s="23"/>
      <c r="H368" s="8"/>
      <c r="I368" s="8"/>
      <c r="J368" s="23"/>
      <c r="K368" s="8"/>
    </row>
    <row r="369" spans="1:11" ht="15.75" customHeight="1" x14ac:dyDescent="0.25">
      <c r="A369" s="9" t="s">
        <v>368</v>
      </c>
      <c r="B369" s="9" t="s">
        <v>427</v>
      </c>
      <c r="C369" s="10" t="s">
        <v>428</v>
      </c>
      <c r="D369" s="11" t="s">
        <v>24</v>
      </c>
      <c r="E369" s="17">
        <v>7</v>
      </c>
      <c r="F369" s="14">
        <v>17.39</v>
      </c>
      <c r="G369" s="18">
        <v>8.27</v>
      </c>
      <c r="H369" s="14"/>
      <c r="I369" s="13">
        <f t="shared" ref="I369:I388" si="41">F369*1.2439</f>
        <v>21.631421</v>
      </c>
      <c r="J369" s="14">
        <f t="shared" ref="J369:J388" si="42">G369*1.2439</f>
        <v>10.287053</v>
      </c>
      <c r="K369" s="14"/>
    </row>
    <row r="370" spans="1:11" ht="15.75" customHeight="1" x14ac:dyDescent="0.25">
      <c r="A370" s="9"/>
      <c r="B370" s="9"/>
      <c r="C370" s="10"/>
      <c r="D370" s="16"/>
      <c r="E370" s="17"/>
      <c r="F370" s="14">
        <f>E369*F369</f>
        <v>121.73</v>
      </c>
      <c r="G370" s="18">
        <f>E369*G369</f>
        <v>57.89</v>
      </c>
      <c r="H370" s="14">
        <f>SUM(F370,G370)</f>
        <v>179.62</v>
      </c>
      <c r="I370" s="13">
        <f t="shared" si="41"/>
        <v>151.41994700000001</v>
      </c>
      <c r="J370" s="14">
        <f t="shared" si="42"/>
        <v>72.009371000000002</v>
      </c>
      <c r="K370" s="14">
        <f>J370+I370</f>
        <v>223.42931800000002</v>
      </c>
    </row>
    <row r="371" spans="1:11" ht="15.75" customHeight="1" x14ac:dyDescent="0.25">
      <c r="A371" s="9" t="s">
        <v>370</v>
      </c>
      <c r="B371" s="9" t="s">
        <v>430</v>
      </c>
      <c r="C371" s="10" t="s">
        <v>431</v>
      </c>
      <c r="D371" s="11" t="s">
        <v>47</v>
      </c>
      <c r="E371" s="17">
        <v>2</v>
      </c>
      <c r="F371" s="14">
        <v>16.68</v>
      </c>
      <c r="G371" s="18">
        <v>5.99</v>
      </c>
      <c r="H371" s="14"/>
      <c r="I371" s="13">
        <f t="shared" si="41"/>
        <v>20.748252000000001</v>
      </c>
      <c r="J371" s="14">
        <f t="shared" si="42"/>
        <v>7.4509610000000004</v>
      </c>
      <c r="K371" s="14"/>
    </row>
    <row r="372" spans="1:11" ht="15.75" customHeight="1" x14ac:dyDescent="0.25">
      <c r="A372" s="9"/>
      <c r="B372" s="9"/>
      <c r="C372" s="10"/>
      <c r="D372" s="16"/>
      <c r="E372" s="17"/>
      <c r="F372" s="14">
        <f>E371*F371</f>
        <v>33.36</v>
      </c>
      <c r="G372" s="18">
        <f>E371*G371</f>
        <v>11.98</v>
      </c>
      <c r="H372" s="14">
        <f>SUM(F372,G372)</f>
        <v>45.34</v>
      </c>
      <c r="I372" s="13">
        <f t="shared" si="41"/>
        <v>41.496504000000002</v>
      </c>
      <c r="J372" s="14">
        <f t="shared" si="42"/>
        <v>14.901922000000001</v>
      </c>
      <c r="K372" s="14">
        <f>J372+I372</f>
        <v>56.398426000000001</v>
      </c>
    </row>
    <row r="373" spans="1:11" ht="15.75" customHeight="1" x14ac:dyDescent="0.25">
      <c r="A373" s="9" t="s">
        <v>373</v>
      </c>
      <c r="B373" s="9" t="s">
        <v>48</v>
      </c>
      <c r="C373" s="28" t="s">
        <v>433</v>
      </c>
      <c r="D373" s="29" t="s">
        <v>24</v>
      </c>
      <c r="E373" s="30">
        <v>7</v>
      </c>
      <c r="F373" s="31">
        <f>2.73*0.8</f>
        <v>2.1840000000000002</v>
      </c>
      <c r="G373" s="31">
        <f>2.73*0.2</f>
        <v>0.54600000000000004</v>
      </c>
      <c r="H373" s="31"/>
      <c r="I373" s="13">
        <f t="shared" si="41"/>
        <v>2.7166776000000001</v>
      </c>
      <c r="J373" s="14">
        <f t="shared" si="42"/>
        <v>0.67916940000000003</v>
      </c>
      <c r="K373" s="14"/>
    </row>
    <row r="374" spans="1:11" ht="15.75" customHeight="1" x14ac:dyDescent="0.25">
      <c r="A374" s="9"/>
      <c r="B374" s="9"/>
      <c r="C374" s="10"/>
      <c r="D374" s="16"/>
      <c r="E374" s="17"/>
      <c r="F374" s="14">
        <f>E373*F373</f>
        <v>15.288</v>
      </c>
      <c r="G374" s="18">
        <f>E373*G373</f>
        <v>3.8220000000000001</v>
      </c>
      <c r="H374" s="14">
        <f>SUM(F374,G374)</f>
        <v>19.11</v>
      </c>
      <c r="I374" s="13">
        <f t="shared" si="41"/>
        <v>19.016743200000001</v>
      </c>
      <c r="J374" s="14">
        <f t="shared" si="42"/>
        <v>4.7541858000000001</v>
      </c>
      <c r="K374" s="14">
        <f>J374+I374</f>
        <v>23.770929000000002</v>
      </c>
    </row>
    <row r="375" spans="1:11" ht="15.75" customHeight="1" x14ac:dyDescent="0.25">
      <c r="A375" s="9" t="s">
        <v>376</v>
      </c>
      <c r="B375" s="9" t="s">
        <v>48</v>
      </c>
      <c r="C375" s="28" t="s">
        <v>435</v>
      </c>
      <c r="D375" s="29" t="s">
        <v>47</v>
      </c>
      <c r="E375" s="30">
        <v>6</v>
      </c>
      <c r="F375" s="31">
        <f>170.85*0.8</f>
        <v>136.68</v>
      </c>
      <c r="G375" s="31">
        <f>170.85*0.2</f>
        <v>34.17</v>
      </c>
      <c r="H375" s="31"/>
      <c r="I375" s="13">
        <f t="shared" si="41"/>
        <v>170.01625200000001</v>
      </c>
      <c r="J375" s="14">
        <f t="shared" si="42"/>
        <v>42.504063000000002</v>
      </c>
      <c r="K375" s="14"/>
    </row>
    <row r="376" spans="1:11" ht="15.75" customHeight="1" x14ac:dyDescent="0.25">
      <c r="A376" s="9"/>
      <c r="B376" s="9"/>
      <c r="C376" s="10"/>
      <c r="D376" s="16"/>
      <c r="E376" s="17"/>
      <c r="F376" s="14">
        <f>E375*F375</f>
        <v>820.08</v>
      </c>
      <c r="G376" s="18">
        <f>E375*G375</f>
        <v>205.02</v>
      </c>
      <c r="H376" s="14">
        <f>SUM(F376,G376)</f>
        <v>1025.1000000000001</v>
      </c>
      <c r="I376" s="13">
        <f t="shared" si="41"/>
        <v>1020.0975120000001</v>
      </c>
      <c r="J376" s="14">
        <f t="shared" si="42"/>
        <v>255.02437800000001</v>
      </c>
      <c r="K376" s="14">
        <f>J376+I376</f>
        <v>1275.1218900000001</v>
      </c>
    </row>
    <row r="377" spans="1:11" ht="15.75" customHeight="1" x14ac:dyDescent="0.25">
      <c r="A377" s="9" t="s">
        <v>379</v>
      </c>
      <c r="B377" s="9" t="s">
        <v>48</v>
      </c>
      <c r="C377" s="28" t="s">
        <v>437</v>
      </c>
      <c r="D377" s="29" t="s">
        <v>47</v>
      </c>
      <c r="E377" s="30">
        <v>1</v>
      </c>
      <c r="F377" s="31">
        <f>259.23*0.8</f>
        <v>207.38400000000001</v>
      </c>
      <c r="G377" s="31">
        <f>259.23*0.2</f>
        <v>51.846000000000004</v>
      </c>
      <c r="H377" s="31"/>
      <c r="I377" s="13">
        <f t="shared" si="41"/>
        <v>257.96495759999999</v>
      </c>
      <c r="J377" s="14">
        <f t="shared" si="42"/>
        <v>64.491239399999998</v>
      </c>
      <c r="K377" s="14"/>
    </row>
    <row r="378" spans="1:11" ht="15.75" customHeight="1" x14ac:dyDescent="0.25">
      <c r="A378" s="9"/>
      <c r="B378" s="9"/>
      <c r="C378" s="10"/>
      <c r="D378" s="16"/>
      <c r="E378" s="17"/>
      <c r="F378" s="14">
        <f>E377*F377</f>
        <v>207.38400000000001</v>
      </c>
      <c r="G378" s="18">
        <f>E377*G377</f>
        <v>51.846000000000004</v>
      </c>
      <c r="H378" s="14">
        <f>SUM(F378,G378)</f>
        <v>259.23</v>
      </c>
      <c r="I378" s="13">
        <f t="shared" si="41"/>
        <v>257.96495759999999</v>
      </c>
      <c r="J378" s="14">
        <f t="shared" si="42"/>
        <v>64.491239399999998</v>
      </c>
      <c r="K378" s="14">
        <f>J378+I378</f>
        <v>322.45619699999997</v>
      </c>
    </row>
    <row r="379" spans="1:11" ht="15.75" customHeight="1" x14ac:dyDescent="0.25">
      <c r="A379" s="9" t="s">
        <v>381</v>
      </c>
      <c r="B379" s="9" t="s">
        <v>48</v>
      </c>
      <c r="C379" s="28" t="s">
        <v>439</v>
      </c>
      <c r="D379" s="29" t="s">
        <v>47</v>
      </c>
      <c r="E379" s="30">
        <v>1</v>
      </c>
      <c r="F379" s="31">
        <f>45.89*0.8</f>
        <v>36.712000000000003</v>
      </c>
      <c r="G379" s="31">
        <f>45.89*0.2</f>
        <v>9.1780000000000008</v>
      </c>
      <c r="H379" s="31"/>
      <c r="I379" s="13">
        <f t="shared" si="41"/>
        <v>45.666056800000007</v>
      </c>
      <c r="J379" s="14">
        <f t="shared" si="42"/>
        <v>11.416514200000002</v>
      </c>
      <c r="K379" s="14"/>
    </row>
    <row r="380" spans="1:11" ht="15.75" customHeight="1" x14ac:dyDescent="0.25">
      <c r="A380" s="9"/>
      <c r="B380" s="9"/>
      <c r="C380" s="10"/>
      <c r="D380" s="16"/>
      <c r="E380" s="17"/>
      <c r="F380" s="14">
        <f>E379*F379</f>
        <v>36.712000000000003</v>
      </c>
      <c r="G380" s="18">
        <f>E379*G379</f>
        <v>9.1780000000000008</v>
      </c>
      <c r="H380" s="14">
        <f>SUM(F380,G380)</f>
        <v>45.89</v>
      </c>
      <c r="I380" s="13">
        <f t="shared" si="41"/>
        <v>45.666056800000007</v>
      </c>
      <c r="J380" s="14">
        <f t="shared" si="42"/>
        <v>11.416514200000002</v>
      </c>
      <c r="K380" s="14">
        <f>J380+I380</f>
        <v>57.082571000000009</v>
      </c>
    </row>
    <row r="381" spans="1:11" ht="15.75" customHeight="1" x14ac:dyDescent="0.25">
      <c r="A381" s="9" t="s">
        <v>384</v>
      </c>
      <c r="B381" s="9" t="s">
        <v>48</v>
      </c>
      <c r="C381" s="28" t="s">
        <v>440</v>
      </c>
      <c r="D381" s="29" t="s">
        <v>47</v>
      </c>
      <c r="E381" s="30">
        <v>4</v>
      </c>
      <c r="F381" s="31">
        <f>53.02*0.8</f>
        <v>42.416000000000004</v>
      </c>
      <c r="G381" s="31">
        <f>53.02*0.2</f>
        <v>10.604000000000001</v>
      </c>
      <c r="H381" s="31"/>
      <c r="I381" s="13">
        <f t="shared" si="41"/>
        <v>52.761262400000007</v>
      </c>
      <c r="J381" s="14">
        <f t="shared" si="42"/>
        <v>13.190315600000002</v>
      </c>
      <c r="K381" s="14"/>
    </row>
    <row r="382" spans="1:11" ht="15.75" customHeight="1" x14ac:dyDescent="0.25">
      <c r="A382" s="9"/>
      <c r="B382" s="9"/>
      <c r="C382" s="10"/>
      <c r="D382" s="16"/>
      <c r="E382" s="17"/>
      <c r="F382" s="14">
        <f>E381*F381</f>
        <v>169.66400000000002</v>
      </c>
      <c r="G382" s="18">
        <f>E381*G381</f>
        <v>42.416000000000004</v>
      </c>
      <c r="H382" s="14">
        <f>SUM(F382,G382)</f>
        <v>212.08</v>
      </c>
      <c r="I382" s="13">
        <f t="shared" si="41"/>
        <v>211.04504960000003</v>
      </c>
      <c r="J382" s="14">
        <f t="shared" si="42"/>
        <v>52.761262400000007</v>
      </c>
      <c r="K382" s="14">
        <f>J382+I382</f>
        <v>263.80631200000005</v>
      </c>
    </row>
    <row r="383" spans="1:11" ht="15.75" customHeight="1" x14ac:dyDescent="0.25">
      <c r="A383" s="9" t="s">
        <v>387</v>
      </c>
      <c r="B383" s="9" t="s">
        <v>441</v>
      </c>
      <c r="C383" s="10" t="s">
        <v>442</v>
      </c>
      <c r="D383" s="11" t="s">
        <v>47</v>
      </c>
      <c r="E383" s="17">
        <v>1</v>
      </c>
      <c r="F383" s="14">
        <v>85.95</v>
      </c>
      <c r="G383" s="18">
        <v>18.13</v>
      </c>
      <c r="H383" s="14"/>
      <c r="I383" s="13">
        <f t="shared" si="41"/>
        <v>106.913205</v>
      </c>
      <c r="J383" s="14">
        <f t="shared" si="42"/>
        <v>22.551907</v>
      </c>
      <c r="K383" s="14"/>
    </row>
    <row r="384" spans="1:11" ht="15.75" customHeight="1" x14ac:dyDescent="0.25">
      <c r="A384" s="9"/>
      <c r="B384" s="9"/>
      <c r="C384" s="10"/>
      <c r="D384" s="16"/>
      <c r="E384" s="17"/>
      <c r="F384" s="14">
        <f>E383*F383</f>
        <v>85.95</v>
      </c>
      <c r="G384" s="18">
        <f>E383*G383</f>
        <v>18.13</v>
      </c>
      <c r="H384" s="14">
        <f>SUM(F384,G384)</f>
        <v>104.08</v>
      </c>
      <c r="I384" s="13">
        <f t="shared" si="41"/>
        <v>106.913205</v>
      </c>
      <c r="J384" s="14">
        <f t="shared" si="42"/>
        <v>22.551907</v>
      </c>
      <c r="K384" s="14">
        <f>J384+I384</f>
        <v>129.465112</v>
      </c>
    </row>
    <row r="385" spans="1:11" ht="15.75" customHeight="1" x14ac:dyDescent="0.25">
      <c r="A385" s="9" t="s">
        <v>390</v>
      </c>
      <c r="B385" s="9" t="s">
        <v>48</v>
      </c>
      <c r="C385" s="28" t="s">
        <v>443</v>
      </c>
      <c r="D385" s="29" t="s">
        <v>47</v>
      </c>
      <c r="E385" s="30">
        <v>2</v>
      </c>
      <c r="F385" s="31">
        <f>17.66*0.8</f>
        <v>14.128</v>
      </c>
      <c r="G385" s="31">
        <f>17.66*0.2</f>
        <v>3.532</v>
      </c>
      <c r="H385" s="31"/>
      <c r="I385" s="13">
        <f t="shared" si="41"/>
        <v>17.573819199999999</v>
      </c>
      <c r="J385" s="14">
        <f t="shared" si="42"/>
        <v>4.3934547999999998</v>
      </c>
      <c r="K385" s="14"/>
    </row>
    <row r="386" spans="1:11" ht="15.75" customHeight="1" x14ac:dyDescent="0.25">
      <c r="A386" s="9"/>
      <c r="B386" s="9"/>
      <c r="C386" s="10"/>
      <c r="D386" s="16"/>
      <c r="E386" s="17"/>
      <c r="F386" s="14">
        <f>E385*F385</f>
        <v>28.256</v>
      </c>
      <c r="G386" s="18">
        <f>E385*G385</f>
        <v>7.0640000000000001</v>
      </c>
      <c r="H386" s="14">
        <f>SUM(F386,G386)</f>
        <v>35.32</v>
      </c>
      <c r="I386" s="13">
        <f t="shared" si="41"/>
        <v>35.147638399999998</v>
      </c>
      <c r="J386" s="14">
        <f t="shared" si="42"/>
        <v>8.7869095999999995</v>
      </c>
      <c r="K386" s="14">
        <f>J386+I386</f>
        <v>43.934547999999999</v>
      </c>
    </row>
    <row r="387" spans="1:11" ht="15.75" customHeight="1" x14ac:dyDescent="0.25">
      <c r="A387" s="9" t="s">
        <v>393</v>
      </c>
      <c r="B387" s="9" t="s">
        <v>48</v>
      </c>
      <c r="C387" s="28" t="s">
        <v>444</v>
      </c>
      <c r="D387" s="29" t="s">
        <v>47</v>
      </c>
      <c r="E387" s="30">
        <v>2</v>
      </c>
      <c r="F387" s="31">
        <f>17.67*0.8</f>
        <v>14.136000000000003</v>
      </c>
      <c r="G387" s="31">
        <f>17.67*0.2</f>
        <v>3.5340000000000007</v>
      </c>
      <c r="H387" s="31"/>
      <c r="I387" s="13">
        <f t="shared" si="41"/>
        <v>17.583770400000002</v>
      </c>
      <c r="J387" s="14">
        <f t="shared" si="42"/>
        <v>4.3959426000000006</v>
      </c>
      <c r="K387" s="14"/>
    </row>
    <row r="388" spans="1:11" ht="15.75" customHeight="1" x14ac:dyDescent="0.25">
      <c r="A388" s="9"/>
      <c r="B388" s="9"/>
      <c r="C388" s="10"/>
      <c r="D388" s="16"/>
      <c r="E388" s="17"/>
      <c r="F388" s="14">
        <f>E387*F387</f>
        <v>28.272000000000006</v>
      </c>
      <c r="G388" s="18">
        <f>E387*G387</f>
        <v>7.0680000000000014</v>
      </c>
      <c r="H388" s="14">
        <f>SUM(F388,G388)</f>
        <v>35.340000000000003</v>
      </c>
      <c r="I388" s="13">
        <f t="shared" si="41"/>
        <v>35.167540800000005</v>
      </c>
      <c r="J388" s="14">
        <f t="shared" si="42"/>
        <v>8.7918852000000012</v>
      </c>
      <c r="K388" s="14">
        <f>J388+I388</f>
        <v>43.959426000000008</v>
      </c>
    </row>
    <row r="389" spans="1:11" ht="15.75" customHeight="1" x14ac:dyDescent="0.25">
      <c r="A389" s="9"/>
      <c r="B389" s="9"/>
      <c r="C389" s="10"/>
      <c r="D389" s="16"/>
      <c r="E389" s="17"/>
      <c r="F389" s="14"/>
      <c r="G389" s="18"/>
      <c r="H389" s="14"/>
      <c r="I389" s="14"/>
      <c r="J389" s="18"/>
      <c r="K389" s="14"/>
    </row>
    <row r="390" spans="1:11" ht="15.75" customHeight="1" x14ac:dyDescent="0.25">
      <c r="A390" s="9"/>
      <c r="B390" s="9"/>
      <c r="C390" s="21" t="s">
        <v>445</v>
      </c>
      <c r="D390" s="16"/>
      <c r="E390" s="17"/>
      <c r="F390" s="14">
        <f t="shared" ref="F390:J390" si="43">F388+F386+F384+F382+F380+F378+F376+F374+F372+F370</f>
        <v>1546.6960000000001</v>
      </c>
      <c r="G390" s="14">
        <f t="shared" si="43"/>
        <v>414.41399999999999</v>
      </c>
      <c r="H390" s="14">
        <f>SUM(F390,G390)</f>
        <v>1961.1100000000001</v>
      </c>
      <c r="I390" s="14">
        <f t="shared" si="43"/>
        <v>1923.9351544000001</v>
      </c>
      <c r="J390" s="14">
        <f t="shared" si="43"/>
        <v>515.48957460000008</v>
      </c>
      <c r="K390" s="14">
        <f>SUM(I390,J390)</f>
        <v>2439.4247290000003</v>
      </c>
    </row>
    <row r="391" spans="1:11" ht="15.75" customHeight="1" x14ac:dyDescent="0.25">
      <c r="A391" s="9"/>
      <c r="B391" s="9"/>
      <c r="C391" s="10"/>
      <c r="D391" s="16"/>
      <c r="E391" s="17"/>
      <c r="F391" s="14"/>
      <c r="G391" s="18"/>
      <c r="H391" s="14"/>
      <c r="I391" s="14"/>
      <c r="J391" s="18"/>
      <c r="K391" s="14"/>
    </row>
    <row r="392" spans="1:11" ht="15.75" customHeight="1" x14ac:dyDescent="0.25">
      <c r="A392" s="3" t="s">
        <v>424</v>
      </c>
      <c r="B392" s="3"/>
      <c r="C392" s="4" t="s">
        <v>447</v>
      </c>
      <c r="D392" s="24"/>
      <c r="E392" s="22"/>
      <c r="F392" s="8"/>
      <c r="G392" s="23"/>
      <c r="H392" s="8"/>
      <c r="I392" s="8"/>
      <c r="J392" s="23"/>
      <c r="K392" s="8"/>
    </row>
    <row r="393" spans="1:11" ht="15.75" customHeight="1" x14ac:dyDescent="0.25">
      <c r="A393" s="9" t="s">
        <v>426</v>
      </c>
      <c r="B393" s="9" t="s">
        <v>449</v>
      </c>
      <c r="C393" s="10" t="s">
        <v>450</v>
      </c>
      <c r="D393" s="11" t="s">
        <v>47</v>
      </c>
      <c r="E393" s="17">
        <v>13</v>
      </c>
      <c r="F393" s="14">
        <v>189.29</v>
      </c>
      <c r="G393" s="18">
        <v>14.47</v>
      </c>
      <c r="H393" s="14"/>
      <c r="I393" s="13">
        <f t="shared" ref="I393:I404" si="44">F393*1.2439</f>
        <v>235.457831</v>
      </c>
      <c r="J393" s="14">
        <f t="shared" ref="J393:J404" si="45">G393*1.2439</f>
        <v>17.999233</v>
      </c>
      <c r="K393" s="14"/>
    </row>
    <row r="394" spans="1:11" ht="15.75" customHeight="1" x14ac:dyDescent="0.25">
      <c r="A394" s="9"/>
      <c r="B394" s="9"/>
      <c r="C394" s="10"/>
      <c r="D394" s="16"/>
      <c r="E394" s="17"/>
      <c r="F394" s="14">
        <f>E393*F393</f>
        <v>2460.77</v>
      </c>
      <c r="G394" s="18">
        <f>E393*G393</f>
        <v>188.11</v>
      </c>
      <c r="H394" s="14">
        <f>SUM(F394,G394)</f>
        <v>2648.88</v>
      </c>
      <c r="I394" s="13">
        <f t="shared" si="44"/>
        <v>3060.9518029999999</v>
      </c>
      <c r="J394" s="14">
        <f t="shared" si="45"/>
        <v>233.99002900000002</v>
      </c>
      <c r="K394" s="14">
        <f>J394+I394</f>
        <v>3294.941832</v>
      </c>
    </row>
    <row r="395" spans="1:11" ht="15.75" customHeight="1" x14ac:dyDescent="0.25">
      <c r="A395" s="9" t="s">
        <v>429</v>
      </c>
      <c r="B395" s="9" t="s">
        <v>452</v>
      </c>
      <c r="C395" s="10" t="s">
        <v>453</v>
      </c>
      <c r="D395" s="11" t="s">
        <v>9</v>
      </c>
      <c r="E395" s="17">
        <v>13</v>
      </c>
      <c r="F395" s="14">
        <f>0.26+12.13</f>
        <v>12.39</v>
      </c>
      <c r="G395" s="18">
        <v>0.53</v>
      </c>
      <c r="H395" s="14"/>
      <c r="I395" s="13">
        <f t="shared" si="44"/>
        <v>15.411921000000001</v>
      </c>
      <c r="J395" s="14">
        <f t="shared" si="45"/>
        <v>0.65926700000000005</v>
      </c>
      <c r="K395" s="14"/>
    </row>
    <row r="396" spans="1:11" ht="15.75" customHeight="1" x14ac:dyDescent="0.25">
      <c r="A396" s="9"/>
      <c r="B396" s="9"/>
      <c r="C396" s="10"/>
      <c r="D396" s="16"/>
      <c r="E396" s="17"/>
      <c r="F396" s="14">
        <f>E395*F395</f>
        <v>161.07</v>
      </c>
      <c r="G396" s="18">
        <f>E395*G395</f>
        <v>6.8900000000000006</v>
      </c>
      <c r="H396" s="14">
        <f>SUM(F396,G396)</f>
        <v>167.95999999999998</v>
      </c>
      <c r="I396" s="13">
        <f t="shared" si="44"/>
        <v>200.354973</v>
      </c>
      <c r="J396" s="14">
        <f t="shared" si="45"/>
        <v>8.5704710000000013</v>
      </c>
      <c r="K396" s="14">
        <f>J396+I396</f>
        <v>208.925444</v>
      </c>
    </row>
    <row r="397" spans="1:11" ht="15.75" customHeight="1" x14ac:dyDescent="0.25">
      <c r="A397" s="9" t="s">
        <v>432</v>
      </c>
      <c r="B397" s="9" t="s">
        <v>48</v>
      </c>
      <c r="C397" s="28" t="s">
        <v>455</v>
      </c>
      <c r="D397" s="29" t="s">
        <v>47</v>
      </c>
      <c r="E397" s="30">
        <v>49</v>
      </c>
      <c r="F397" s="31">
        <f>56*0.8</f>
        <v>44.800000000000004</v>
      </c>
      <c r="G397" s="31">
        <f>56*0.2</f>
        <v>11.200000000000001</v>
      </c>
      <c r="H397" s="31"/>
      <c r="I397" s="13">
        <f t="shared" si="44"/>
        <v>55.726720000000007</v>
      </c>
      <c r="J397" s="14">
        <f t="shared" si="45"/>
        <v>13.931680000000002</v>
      </c>
      <c r="K397" s="14"/>
    </row>
    <row r="398" spans="1:11" ht="15.75" customHeight="1" x14ac:dyDescent="0.25">
      <c r="A398" s="9"/>
      <c r="B398" s="9"/>
      <c r="C398" s="10"/>
      <c r="D398" s="16"/>
      <c r="E398" s="17"/>
      <c r="F398" s="14">
        <f>E397*F397</f>
        <v>2195.2000000000003</v>
      </c>
      <c r="G398" s="18">
        <f>E397*G397</f>
        <v>548.80000000000007</v>
      </c>
      <c r="H398" s="14">
        <f>SUM(F398,G398)</f>
        <v>2744.0000000000005</v>
      </c>
      <c r="I398" s="13">
        <f t="shared" si="44"/>
        <v>2730.6092800000001</v>
      </c>
      <c r="J398" s="14">
        <f t="shared" si="45"/>
        <v>682.65232000000003</v>
      </c>
      <c r="K398" s="14">
        <f>J398+I398</f>
        <v>3413.2616000000003</v>
      </c>
    </row>
    <row r="399" spans="1:11" ht="15.75" customHeight="1" x14ac:dyDescent="0.25">
      <c r="A399" s="9" t="s">
        <v>434</v>
      </c>
      <c r="B399" s="9" t="s">
        <v>48</v>
      </c>
      <c r="C399" s="28" t="s">
        <v>457</v>
      </c>
      <c r="D399" s="29" t="s">
        <v>47</v>
      </c>
      <c r="E399" s="30">
        <v>31</v>
      </c>
      <c r="F399" s="31">
        <f>35*0.8</f>
        <v>28</v>
      </c>
      <c r="G399" s="31">
        <f>35*0.2</f>
        <v>7</v>
      </c>
      <c r="H399" s="31"/>
      <c r="I399" s="13">
        <f t="shared" si="44"/>
        <v>34.8292</v>
      </c>
      <c r="J399" s="14">
        <f t="shared" si="45"/>
        <v>8.7073</v>
      </c>
      <c r="K399" s="14"/>
    </row>
    <row r="400" spans="1:11" ht="15.75" customHeight="1" x14ac:dyDescent="0.25">
      <c r="A400" s="9"/>
      <c r="B400" s="9"/>
      <c r="C400" s="10"/>
      <c r="D400" s="16"/>
      <c r="E400" s="17"/>
      <c r="F400" s="14">
        <f>E399*F399</f>
        <v>868</v>
      </c>
      <c r="G400" s="18">
        <f>E399*G399</f>
        <v>217</v>
      </c>
      <c r="H400" s="14">
        <f>SUM(F400,G400)</f>
        <v>1085</v>
      </c>
      <c r="I400" s="13">
        <f t="shared" si="44"/>
        <v>1079.7052000000001</v>
      </c>
      <c r="J400" s="14">
        <f t="shared" si="45"/>
        <v>269.92630000000003</v>
      </c>
      <c r="K400" s="14">
        <f>J400+I400</f>
        <v>1349.6315000000002</v>
      </c>
    </row>
    <row r="401" spans="1:11" ht="15.75" customHeight="1" x14ac:dyDescent="0.25">
      <c r="A401" s="9" t="s">
        <v>436</v>
      </c>
      <c r="B401" s="9" t="s">
        <v>48</v>
      </c>
      <c r="C401" s="28" t="s">
        <v>459</v>
      </c>
      <c r="D401" s="29" t="s">
        <v>47</v>
      </c>
      <c r="E401" s="30">
        <v>3</v>
      </c>
      <c r="F401" s="31">
        <f>35*0.8</f>
        <v>28</v>
      </c>
      <c r="G401" s="31">
        <f>35*0.2</f>
        <v>7</v>
      </c>
      <c r="H401" s="31"/>
      <c r="I401" s="13">
        <f t="shared" si="44"/>
        <v>34.8292</v>
      </c>
      <c r="J401" s="14">
        <f t="shared" si="45"/>
        <v>8.7073</v>
      </c>
      <c r="K401" s="14"/>
    </row>
    <row r="402" spans="1:11" ht="15.75" customHeight="1" x14ac:dyDescent="0.25">
      <c r="A402" s="9"/>
      <c r="B402" s="9"/>
      <c r="C402" s="10"/>
      <c r="D402" s="16"/>
      <c r="E402" s="17"/>
      <c r="F402" s="14">
        <f>E401*F401</f>
        <v>84</v>
      </c>
      <c r="G402" s="18">
        <f>E401*G401</f>
        <v>21</v>
      </c>
      <c r="H402" s="14">
        <f>SUM(F402,G402)</f>
        <v>105</v>
      </c>
      <c r="I402" s="13">
        <f t="shared" si="44"/>
        <v>104.4876</v>
      </c>
      <c r="J402" s="14">
        <f t="shared" si="45"/>
        <v>26.1219</v>
      </c>
      <c r="K402" s="14">
        <f>J402+I402</f>
        <v>130.6095</v>
      </c>
    </row>
    <row r="403" spans="1:11" ht="15.75" customHeight="1" x14ac:dyDescent="0.25">
      <c r="A403" s="9" t="s">
        <v>438</v>
      </c>
      <c r="B403" s="9" t="s">
        <v>48</v>
      </c>
      <c r="C403" s="28" t="s">
        <v>461</v>
      </c>
      <c r="D403" s="29" t="s">
        <v>47</v>
      </c>
      <c r="E403" s="30">
        <v>13</v>
      </c>
      <c r="F403" s="39">
        <v>45.97</v>
      </c>
      <c r="G403" s="40">
        <v>11.49</v>
      </c>
      <c r="H403" s="31"/>
      <c r="I403" s="13">
        <f t="shared" si="44"/>
        <v>57.182082999999999</v>
      </c>
      <c r="J403" s="14">
        <f t="shared" si="45"/>
        <v>14.292411</v>
      </c>
      <c r="K403" s="14"/>
    </row>
    <row r="404" spans="1:11" ht="15.75" customHeight="1" x14ac:dyDescent="0.25">
      <c r="A404" s="9"/>
      <c r="B404" s="9"/>
      <c r="C404" s="10"/>
      <c r="D404" s="16"/>
      <c r="E404" s="17"/>
      <c r="F404" s="14">
        <f>E403*F403</f>
        <v>597.61</v>
      </c>
      <c r="G404" s="18">
        <f>E403*G403</f>
        <v>149.37</v>
      </c>
      <c r="H404" s="14">
        <f>SUM(F404,G404)</f>
        <v>746.98</v>
      </c>
      <c r="I404" s="13">
        <f t="shared" si="44"/>
        <v>743.36707899999999</v>
      </c>
      <c r="J404" s="14">
        <f t="shared" si="45"/>
        <v>185.801343</v>
      </c>
      <c r="K404" s="14">
        <f>J404+I404</f>
        <v>929.16842199999996</v>
      </c>
    </row>
    <row r="405" spans="1:11" ht="15.75" customHeight="1" x14ac:dyDescent="0.25">
      <c r="A405" s="9"/>
      <c r="B405" s="9"/>
      <c r="C405" s="10"/>
      <c r="D405" s="16"/>
      <c r="E405" s="17"/>
      <c r="F405" s="14"/>
      <c r="G405" s="18"/>
      <c r="H405" s="14"/>
      <c r="I405" s="14"/>
      <c r="J405" s="18"/>
      <c r="K405" s="14"/>
    </row>
    <row r="406" spans="1:11" ht="15.75" customHeight="1" x14ac:dyDescent="0.25">
      <c r="A406" s="9"/>
      <c r="B406" s="9"/>
      <c r="C406" s="21" t="s">
        <v>462</v>
      </c>
      <c r="D406" s="16"/>
      <c r="E406" s="17"/>
      <c r="F406" s="14">
        <f t="shared" ref="F406:J406" si="46">F404+F402+F400+F398+F396+F394</f>
        <v>6366.6500000000005</v>
      </c>
      <c r="G406" s="14">
        <f t="shared" si="46"/>
        <v>1131.17</v>
      </c>
      <c r="H406" s="14">
        <f>SUM(F406,G406)</f>
        <v>7497.8200000000006</v>
      </c>
      <c r="I406" s="14">
        <f t="shared" si="46"/>
        <v>7919.4759350000004</v>
      </c>
      <c r="J406" s="14">
        <f t="shared" si="46"/>
        <v>1407.062363</v>
      </c>
      <c r="K406" s="14">
        <f>SUM(I406,J406)</f>
        <v>9326.5382979999995</v>
      </c>
    </row>
    <row r="407" spans="1:11" ht="15.75" customHeight="1" x14ac:dyDescent="0.25">
      <c r="A407" s="9"/>
      <c r="B407" s="9"/>
      <c r="C407" s="10"/>
      <c r="D407" s="16"/>
      <c r="E407" s="17"/>
      <c r="F407" s="14"/>
      <c r="G407" s="18"/>
      <c r="H407" s="14"/>
      <c r="I407" s="14"/>
      <c r="J407" s="18"/>
      <c r="K407" s="14"/>
    </row>
    <row r="408" spans="1:11" ht="15.75" customHeight="1" x14ac:dyDescent="0.25">
      <c r="A408" s="3" t="s">
        <v>446</v>
      </c>
      <c r="B408" s="3"/>
      <c r="C408" s="4" t="s">
        <v>464</v>
      </c>
      <c r="D408" s="24"/>
      <c r="E408" s="22"/>
      <c r="F408" s="8"/>
      <c r="G408" s="23"/>
      <c r="H408" s="8"/>
      <c r="I408" s="8"/>
      <c r="J408" s="23"/>
      <c r="K408" s="8"/>
    </row>
    <row r="409" spans="1:11" ht="30" customHeight="1" x14ac:dyDescent="0.25">
      <c r="A409" s="9" t="s">
        <v>448</v>
      </c>
      <c r="B409" s="9" t="s">
        <v>466</v>
      </c>
      <c r="C409" s="10" t="s">
        <v>467</v>
      </c>
      <c r="D409" s="16" t="s">
        <v>47</v>
      </c>
      <c r="E409" s="17">
        <v>4</v>
      </c>
      <c r="F409" s="14">
        <v>368.7</v>
      </c>
      <c r="G409" s="18">
        <v>75.97</v>
      </c>
      <c r="H409" s="14"/>
      <c r="I409" s="13">
        <f t="shared" ref="I409:J414" si="47">F409*1.2439</f>
        <v>458.62592999999998</v>
      </c>
      <c r="J409" s="14">
        <f t="shared" si="47"/>
        <v>94.499082999999999</v>
      </c>
      <c r="K409" s="14"/>
    </row>
    <row r="410" spans="1:11" ht="15.75" customHeight="1" x14ac:dyDescent="0.25">
      <c r="A410" s="9"/>
      <c r="B410" s="9"/>
      <c r="C410" s="10"/>
      <c r="D410" s="16"/>
      <c r="E410" s="17"/>
      <c r="F410" s="14">
        <f>E409*F409</f>
        <v>1474.8</v>
      </c>
      <c r="G410" s="14">
        <f>E409*G409</f>
        <v>303.88</v>
      </c>
      <c r="H410" s="14">
        <f>SUM(F410,G410)</f>
        <v>1778.6799999999998</v>
      </c>
      <c r="I410" s="13">
        <f t="shared" si="47"/>
        <v>1834.5037199999999</v>
      </c>
      <c r="J410" s="14">
        <f t="shared" si="47"/>
        <v>377.996332</v>
      </c>
      <c r="K410" s="14">
        <f>J410+I410</f>
        <v>2212.5000519999999</v>
      </c>
    </row>
    <row r="411" spans="1:11" ht="15.75" customHeight="1" x14ac:dyDescent="0.25">
      <c r="A411" s="9" t="s">
        <v>451</v>
      </c>
      <c r="B411" s="9" t="s">
        <v>466</v>
      </c>
      <c r="C411" s="10" t="s">
        <v>469</v>
      </c>
      <c r="D411" s="16" t="s">
        <v>47</v>
      </c>
      <c r="E411" s="17">
        <v>1</v>
      </c>
      <c r="F411" s="14">
        <v>368.7</v>
      </c>
      <c r="G411" s="18">
        <v>75.97</v>
      </c>
      <c r="H411" s="14"/>
      <c r="I411" s="13">
        <f t="shared" si="47"/>
        <v>458.62592999999998</v>
      </c>
      <c r="J411" s="14">
        <f t="shared" si="47"/>
        <v>94.499082999999999</v>
      </c>
      <c r="K411" s="14"/>
    </row>
    <row r="412" spans="1:11" ht="15.75" customHeight="1" x14ac:dyDescent="0.25">
      <c r="A412" s="9"/>
      <c r="B412" s="9"/>
      <c r="C412" s="10"/>
      <c r="D412" s="16"/>
      <c r="E412" s="17"/>
      <c r="F412" s="14">
        <f>E411*F411</f>
        <v>368.7</v>
      </c>
      <c r="G412" s="14">
        <f>E411*G411</f>
        <v>75.97</v>
      </c>
      <c r="H412" s="14">
        <f>SUM(F412,G412)</f>
        <v>444.66999999999996</v>
      </c>
      <c r="I412" s="13">
        <f t="shared" si="47"/>
        <v>458.62592999999998</v>
      </c>
      <c r="J412" s="14">
        <f t="shared" si="47"/>
        <v>94.499082999999999</v>
      </c>
      <c r="K412" s="14">
        <f>J412+I412</f>
        <v>553.12501299999997</v>
      </c>
    </row>
    <row r="413" spans="1:11" ht="15.75" customHeight="1" x14ac:dyDescent="0.25">
      <c r="A413" s="9" t="s">
        <v>454</v>
      </c>
      <c r="B413" s="9" t="s">
        <v>466</v>
      </c>
      <c r="C413" s="10" t="s">
        <v>471</v>
      </c>
      <c r="D413" s="16" t="s">
        <v>47</v>
      </c>
      <c r="E413" s="17">
        <v>2</v>
      </c>
      <c r="F413" s="14">
        <v>368.7</v>
      </c>
      <c r="G413" s="18">
        <v>75.97</v>
      </c>
      <c r="H413" s="14"/>
      <c r="I413" s="13">
        <f t="shared" si="47"/>
        <v>458.62592999999998</v>
      </c>
      <c r="J413" s="14">
        <f t="shared" si="47"/>
        <v>94.499082999999999</v>
      </c>
      <c r="K413" s="14"/>
    </row>
    <row r="414" spans="1:11" ht="15.75" customHeight="1" x14ac:dyDescent="0.25">
      <c r="A414" s="9"/>
      <c r="B414" s="9"/>
      <c r="C414" s="10"/>
      <c r="D414" s="16"/>
      <c r="E414" s="17"/>
      <c r="F414" s="14">
        <f>E413*F413</f>
        <v>737.4</v>
      </c>
      <c r="G414" s="14">
        <f>E413*G413</f>
        <v>151.94</v>
      </c>
      <c r="H414" s="14">
        <f>SUM(F414,G414)</f>
        <v>889.33999999999992</v>
      </c>
      <c r="I414" s="13">
        <f t="shared" si="47"/>
        <v>917.25185999999997</v>
      </c>
      <c r="J414" s="14">
        <f t="shared" si="47"/>
        <v>188.998166</v>
      </c>
      <c r="K414" s="14">
        <f>J414+I414</f>
        <v>1106.2500259999999</v>
      </c>
    </row>
    <row r="415" spans="1:11" ht="15.75" customHeight="1" x14ac:dyDescent="0.25">
      <c r="A415" s="9" t="s">
        <v>456</v>
      </c>
      <c r="B415" s="9" t="s">
        <v>466</v>
      </c>
      <c r="C415" s="10" t="s">
        <v>473</v>
      </c>
      <c r="D415" s="16" t="s">
        <v>47</v>
      </c>
      <c r="E415" s="17">
        <v>2</v>
      </c>
      <c r="F415" s="14">
        <v>368.7</v>
      </c>
      <c r="G415" s="18">
        <v>75.97</v>
      </c>
      <c r="H415" s="14"/>
      <c r="I415" s="13">
        <f t="shared" ref="I415:I478" si="48">F415*1.2439</f>
        <v>458.62592999999998</v>
      </c>
      <c r="J415" s="14">
        <f t="shared" ref="J415:J478" si="49">G415*1.2439</f>
        <v>94.499082999999999</v>
      </c>
      <c r="K415" s="14"/>
    </row>
    <row r="416" spans="1:11" ht="15.75" customHeight="1" x14ac:dyDescent="0.25">
      <c r="A416" s="9"/>
      <c r="B416" s="9"/>
      <c r="C416" s="10"/>
      <c r="D416" s="16"/>
      <c r="E416" s="17"/>
      <c r="F416" s="14">
        <f>E415*F415</f>
        <v>737.4</v>
      </c>
      <c r="G416" s="14">
        <f>E415*G415</f>
        <v>151.94</v>
      </c>
      <c r="H416" s="14">
        <f>SUM(F416,G416)</f>
        <v>889.33999999999992</v>
      </c>
      <c r="I416" s="13">
        <f t="shared" si="48"/>
        <v>917.25185999999997</v>
      </c>
      <c r="J416" s="14">
        <f t="shared" si="49"/>
        <v>188.998166</v>
      </c>
      <c r="K416" s="14">
        <f t="shared" ref="K416" si="50">J416+I416</f>
        <v>1106.2500259999999</v>
      </c>
    </row>
    <row r="417" spans="1:11" ht="15.75" customHeight="1" x14ac:dyDescent="0.25">
      <c r="A417" s="9" t="s">
        <v>458</v>
      </c>
      <c r="B417" s="9" t="s">
        <v>466</v>
      </c>
      <c r="C417" s="10" t="s">
        <v>475</v>
      </c>
      <c r="D417" s="16" t="s">
        <v>47</v>
      </c>
      <c r="E417" s="17">
        <v>1</v>
      </c>
      <c r="F417" s="14">
        <v>368.7</v>
      </c>
      <c r="G417" s="18">
        <v>75.97</v>
      </c>
      <c r="H417" s="14"/>
      <c r="I417" s="13">
        <f t="shared" si="48"/>
        <v>458.62592999999998</v>
      </c>
      <c r="J417" s="14">
        <f t="shared" si="49"/>
        <v>94.499082999999999</v>
      </c>
      <c r="K417" s="14"/>
    </row>
    <row r="418" spans="1:11" ht="15.75" customHeight="1" x14ac:dyDescent="0.25">
      <c r="A418" s="9"/>
      <c r="B418" s="9"/>
      <c r="C418" s="10"/>
      <c r="D418" s="16"/>
      <c r="E418" s="17"/>
      <c r="F418" s="14">
        <f>E417*F417</f>
        <v>368.7</v>
      </c>
      <c r="G418" s="14">
        <f>E417*G417</f>
        <v>75.97</v>
      </c>
      <c r="H418" s="14">
        <f>SUM(F418,G418)</f>
        <v>444.66999999999996</v>
      </c>
      <c r="I418" s="13">
        <f t="shared" si="48"/>
        <v>458.62592999999998</v>
      </c>
      <c r="J418" s="14">
        <f t="shared" si="49"/>
        <v>94.499082999999999</v>
      </c>
      <c r="K418" s="14">
        <f t="shared" ref="K418" si="51">J418+I418</f>
        <v>553.12501299999997</v>
      </c>
    </row>
    <row r="419" spans="1:11" ht="15.75" customHeight="1" x14ac:dyDescent="0.25">
      <c r="A419" s="9" t="s">
        <v>460</v>
      </c>
      <c r="B419" s="9" t="s">
        <v>477</v>
      </c>
      <c r="C419" s="10" t="s">
        <v>478</v>
      </c>
      <c r="D419" s="16" t="s">
        <v>47</v>
      </c>
      <c r="E419" s="17">
        <v>19</v>
      </c>
      <c r="F419" s="14">
        <v>9.89</v>
      </c>
      <c r="G419" s="18">
        <v>2.2200000000000002</v>
      </c>
      <c r="H419" s="14"/>
      <c r="I419" s="13">
        <f t="shared" si="48"/>
        <v>12.302171000000001</v>
      </c>
      <c r="J419" s="14">
        <f t="shared" si="49"/>
        <v>2.7614580000000002</v>
      </c>
      <c r="K419" s="14"/>
    </row>
    <row r="420" spans="1:11" ht="15.75" customHeight="1" x14ac:dyDescent="0.25">
      <c r="A420" s="9"/>
      <c r="B420" s="9"/>
      <c r="C420" s="10"/>
      <c r="D420" s="16"/>
      <c r="E420" s="17"/>
      <c r="F420" s="14">
        <f>E419*F419</f>
        <v>187.91000000000003</v>
      </c>
      <c r="G420" s="14">
        <f>E419*G419</f>
        <v>42.180000000000007</v>
      </c>
      <c r="H420" s="14">
        <f>SUM(F420,G420)</f>
        <v>230.09000000000003</v>
      </c>
      <c r="I420" s="13">
        <f t="shared" si="48"/>
        <v>233.74124900000004</v>
      </c>
      <c r="J420" s="14">
        <f t="shared" si="49"/>
        <v>52.46770200000001</v>
      </c>
      <c r="K420" s="14">
        <f t="shared" ref="K420" si="52">J420+I420</f>
        <v>286.20895100000007</v>
      </c>
    </row>
    <row r="421" spans="1:11" ht="15.75" customHeight="1" x14ac:dyDescent="0.25">
      <c r="A421" s="9" t="s">
        <v>560</v>
      </c>
      <c r="B421" s="9" t="s">
        <v>477</v>
      </c>
      <c r="C421" s="10" t="s">
        <v>480</v>
      </c>
      <c r="D421" s="16" t="s">
        <v>47</v>
      </c>
      <c r="E421" s="17">
        <v>31</v>
      </c>
      <c r="F421" s="14">
        <v>9.89</v>
      </c>
      <c r="G421" s="18">
        <v>2.2200000000000002</v>
      </c>
      <c r="H421" s="14"/>
      <c r="I421" s="13">
        <f t="shared" si="48"/>
        <v>12.302171000000001</v>
      </c>
      <c r="J421" s="14">
        <f t="shared" si="49"/>
        <v>2.7614580000000002</v>
      </c>
      <c r="K421" s="14"/>
    </row>
    <row r="422" spans="1:11" ht="15.75" customHeight="1" x14ac:dyDescent="0.25">
      <c r="A422" s="9"/>
      <c r="B422" s="9"/>
      <c r="C422" s="10"/>
      <c r="D422" s="16"/>
      <c r="E422" s="17"/>
      <c r="F422" s="14">
        <f>E421*F421</f>
        <v>306.59000000000003</v>
      </c>
      <c r="G422" s="14">
        <f>E421*G421</f>
        <v>68.820000000000007</v>
      </c>
      <c r="H422" s="14">
        <f>SUM(F422,G422)</f>
        <v>375.41</v>
      </c>
      <c r="I422" s="13">
        <f t="shared" si="48"/>
        <v>381.36730100000005</v>
      </c>
      <c r="J422" s="14">
        <f t="shared" si="49"/>
        <v>85.605198000000016</v>
      </c>
      <c r="K422" s="14">
        <f t="shared" ref="K422" si="53">J422+I422</f>
        <v>466.97249900000008</v>
      </c>
    </row>
    <row r="423" spans="1:11" ht="15.75" customHeight="1" x14ac:dyDescent="0.25">
      <c r="A423" s="9" t="s">
        <v>562</v>
      </c>
      <c r="B423" s="9" t="s">
        <v>482</v>
      </c>
      <c r="C423" s="10" t="s">
        <v>483</v>
      </c>
      <c r="D423" s="16" t="s">
        <v>47</v>
      </c>
      <c r="E423" s="17">
        <v>14</v>
      </c>
      <c r="F423" s="14">
        <v>66.12</v>
      </c>
      <c r="G423" s="14">
        <v>12.14</v>
      </c>
      <c r="H423" s="14"/>
      <c r="I423" s="13">
        <f t="shared" si="48"/>
        <v>82.246668</v>
      </c>
      <c r="J423" s="14">
        <f t="shared" si="49"/>
        <v>15.100946</v>
      </c>
      <c r="K423" s="14"/>
    </row>
    <row r="424" spans="1:11" ht="15.75" customHeight="1" x14ac:dyDescent="0.25">
      <c r="A424" s="9"/>
      <c r="B424" s="9"/>
      <c r="C424" s="10"/>
      <c r="D424" s="16"/>
      <c r="E424" s="17"/>
      <c r="F424" s="14">
        <f>E423*F423</f>
        <v>925.68000000000006</v>
      </c>
      <c r="G424" s="14">
        <f>E423*G423</f>
        <v>169.96</v>
      </c>
      <c r="H424" s="14">
        <f>SUM(F424,G424)</f>
        <v>1095.6400000000001</v>
      </c>
      <c r="I424" s="13">
        <f t="shared" si="48"/>
        <v>1151.453352</v>
      </c>
      <c r="J424" s="14">
        <f t="shared" si="49"/>
        <v>211.41324400000002</v>
      </c>
      <c r="K424" s="14">
        <f t="shared" ref="K424" si="54">J424+I424</f>
        <v>1362.8665960000001</v>
      </c>
    </row>
    <row r="425" spans="1:11" ht="15.75" customHeight="1" x14ac:dyDescent="0.25">
      <c r="A425" s="9" t="s">
        <v>565</v>
      </c>
      <c r="B425" s="9" t="s">
        <v>477</v>
      </c>
      <c r="C425" s="10" t="s">
        <v>485</v>
      </c>
      <c r="D425" s="16" t="s">
        <v>47</v>
      </c>
      <c r="E425" s="17">
        <v>18</v>
      </c>
      <c r="F425" s="14">
        <v>9.89</v>
      </c>
      <c r="G425" s="14">
        <v>2.2200000000000002</v>
      </c>
      <c r="H425" s="14"/>
      <c r="I425" s="13">
        <f t="shared" si="48"/>
        <v>12.302171000000001</v>
      </c>
      <c r="J425" s="14">
        <f t="shared" si="49"/>
        <v>2.7614580000000002</v>
      </c>
      <c r="K425" s="14"/>
    </row>
    <row r="426" spans="1:11" ht="15.75" customHeight="1" x14ac:dyDescent="0.25">
      <c r="A426" s="9"/>
      <c r="B426" s="9"/>
      <c r="C426" s="10"/>
      <c r="D426" s="16"/>
      <c r="E426" s="17"/>
      <c r="F426" s="14">
        <f>E425*F425</f>
        <v>178.02</v>
      </c>
      <c r="G426" s="14">
        <f>E425*G425</f>
        <v>39.96</v>
      </c>
      <c r="H426" s="14">
        <f>SUM(F426,G426)</f>
        <v>217.98000000000002</v>
      </c>
      <c r="I426" s="13">
        <f t="shared" si="48"/>
        <v>221.43907800000002</v>
      </c>
      <c r="J426" s="14">
        <f t="shared" si="49"/>
        <v>49.706243999999998</v>
      </c>
      <c r="K426" s="14">
        <f t="shared" ref="K426" si="55">J426+I426</f>
        <v>271.14532200000002</v>
      </c>
    </row>
    <row r="427" spans="1:11" ht="15.75" customHeight="1" x14ac:dyDescent="0.25">
      <c r="A427" s="9" t="s">
        <v>568</v>
      </c>
      <c r="B427" s="9" t="s">
        <v>482</v>
      </c>
      <c r="C427" s="10" t="s">
        <v>486</v>
      </c>
      <c r="D427" s="16" t="s">
        <v>47</v>
      </c>
      <c r="E427" s="17">
        <v>6</v>
      </c>
      <c r="F427" s="14">
        <v>66.12</v>
      </c>
      <c r="G427" s="14">
        <v>12.14</v>
      </c>
      <c r="H427" s="14"/>
      <c r="I427" s="13">
        <f t="shared" si="48"/>
        <v>82.246668</v>
      </c>
      <c r="J427" s="14">
        <f t="shared" si="49"/>
        <v>15.100946</v>
      </c>
      <c r="K427" s="14"/>
    </row>
    <row r="428" spans="1:11" ht="15.75" customHeight="1" x14ac:dyDescent="0.25">
      <c r="A428" s="9"/>
      <c r="B428" s="9"/>
      <c r="C428" s="10"/>
      <c r="D428" s="16"/>
      <c r="E428" s="17"/>
      <c r="F428" s="14">
        <f>E427*F427</f>
        <v>396.72</v>
      </c>
      <c r="G428" s="14">
        <f>E427*G427</f>
        <v>72.84</v>
      </c>
      <c r="H428" s="14">
        <f>SUM(F428,G428)</f>
        <v>469.56000000000006</v>
      </c>
      <c r="I428" s="13">
        <f t="shared" si="48"/>
        <v>493.48000800000005</v>
      </c>
      <c r="J428" s="14">
        <f t="shared" si="49"/>
        <v>90.605676000000003</v>
      </c>
      <c r="K428" s="14">
        <f t="shared" ref="K428" si="56">J428+I428</f>
        <v>584.08568400000001</v>
      </c>
    </row>
    <row r="429" spans="1:11" ht="15.75" customHeight="1" x14ac:dyDescent="0.25">
      <c r="A429" s="9" t="s">
        <v>570</v>
      </c>
      <c r="B429" s="9" t="s">
        <v>487</v>
      </c>
      <c r="C429" s="10" t="s">
        <v>488</v>
      </c>
      <c r="D429" s="16" t="s">
        <v>47</v>
      </c>
      <c r="E429" s="17">
        <v>1</v>
      </c>
      <c r="F429" s="14">
        <v>276.70999999999998</v>
      </c>
      <c r="G429" s="18">
        <v>12.14</v>
      </c>
      <c r="H429" s="14"/>
      <c r="I429" s="13">
        <f t="shared" si="48"/>
        <v>344.199569</v>
      </c>
      <c r="J429" s="14">
        <f t="shared" si="49"/>
        <v>15.100946</v>
      </c>
      <c r="K429" s="14"/>
    </row>
    <row r="430" spans="1:11" ht="15.75" customHeight="1" x14ac:dyDescent="0.25">
      <c r="A430" s="9"/>
      <c r="B430" s="9"/>
      <c r="C430" s="10"/>
      <c r="D430" s="16"/>
      <c r="E430" s="17"/>
      <c r="F430" s="14">
        <f>E429*F429</f>
        <v>276.70999999999998</v>
      </c>
      <c r="G430" s="14">
        <f>E429*G429</f>
        <v>12.14</v>
      </c>
      <c r="H430" s="14">
        <f>SUM(F430,G430)</f>
        <v>288.84999999999997</v>
      </c>
      <c r="I430" s="13">
        <f t="shared" si="48"/>
        <v>344.199569</v>
      </c>
      <c r="J430" s="14">
        <f t="shared" si="49"/>
        <v>15.100946</v>
      </c>
      <c r="K430" s="14">
        <f t="shared" ref="K430" si="57">J430+I430</f>
        <v>359.30051500000002</v>
      </c>
    </row>
    <row r="431" spans="1:11" ht="15.75" customHeight="1" x14ac:dyDescent="0.25">
      <c r="A431" s="9" t="s">
        <v>576</v>
      </c>
      <c r="B431" s="9" t="s">
        <v>489</v>
      </c>
      <c r="C431" s="10" t="s">
        <v>490</v>
      </c>
      <c r="D431" s="16" t="s">
        <v>24</v>
      </c>
      <c r="E431" s="17">
        <v>420</v>
      </c>
      <c r="F431" s="14">
        <v>2.74</v>
      </c>
      <c r="G431" s="14">
        <v>3.94</v>
      </c>
      <c r="H431" s="14"/>
      <c r="I431" s="13">
        <f t="shared" si="48"/>
        <v>3.4082860000000004</v>
      </c>
      <c r="J431" s="14">
        <f t="shared" si="49"/>
        <v>4.9009660000000004</v>
      </c>
      <c r="K431" s="14"/>
    </row>
    <row r="432" spans="1:11" ht="15.75" customHeight="1" x14ac:dyDescent="0.25">
      <c r="A432" s="9"/>
      <c r="B432" s="9"/>
      <c r="C432" s="10"/>
      <c r="D432" s="16"/>
      <c r="E432" s="17"/>
      <c r="F432" s="14">
        <f>E431*F431</f>
        <v>1150.8000000000002</v>
      </c>
      <c r="G432" s="14">
        <f>E431*G431</f>
        <v>1654.8</v>
      </c>
      <c r="H432" s="14">
        <f>SUM(F432,G432)</f>
        <v>2805.6000000000004</v>
      </c>
      <c r="I432" s="13">
        <f t="shared" si="48"/>
        <v>1431.4801200000002</v>
      </c>
      <c r="J432" s="14">
        <f t="shared" si="49"/>
        <v>2058.4057199999997</v>
      </c>
      <c r="K432" s="14">
        <f t="shared" ref="K432" si="58">J432+I432</f>
        <v>3489.8858399999999</v>
      </c>
    </row>
    <row r="433" spans="1:11" ht="15.75" customHeight="1" x14ac:dyDescent="0.25">
      <c r="A433" s="9" t="s">
        <v>580</v>
      </c>
      <c r="B433" s="9" t="s">
        <v>491</v>
      </c>
      <c r="C433" s="10" t="s">
        <v>492</v>
      </c>
      <c r="D433" s="16" t="s">
        <v>24</v>
      </c>
      <c r="E433" s="17">
        <v>1754.92</v>
      </c>
      <c r="F433" s="14">
        <v>2.99</v>
      </c>
      <c r="G433" s="14">
        <v>4.41</v>
      </c>
      <c r="H433" s="14"/>
      <c r="I433" s="13">
        <f t="shared" si="48"/>
        <v>3.7192610000000004</v>
      </c>
      <c r="J433" s="14">
        <f t="shared" si="49"/>
        <v>5.4855990000000006</v>
      </c>
      <c r="K433" s="14"/>
    </row>
    <row r="434" spans="1:11" ht="15.75" customHeight="1" x14ac:dyDescent="0.25">
      <c r="A434" s="9"/>
      <c r="B434" s="9"/>
      <c r="C434" s="10"/>
      <c r="D434" s="16"/>
      <c r="E434" s="17"/>
      <c r="F434" s="14">
        <f>E433*F433</f>
        <v>5247.2108000000007</v>
      </c>
      <c r="G434" s="14">
        <f>E433*G433</f>
        <v>7739.1972000000005</v>
      </c>
      <c r="H434" s="14">
        <f>SUM(F434,G434)</f>
        <v>12986.408000000001</v>
      </c>
      <c r="I434" s="13">
        <f t="shared" si="48"/>
        <v>6527.005514120001</v>
      </c>
      <c r="J434" s="14">
        <f t="shared" si="49"/>
        <v>9626.787397080001</v>
      </c>
      <c r="K434" s="14">
        <f t="shared" ref="K434" si="59">J434+I434</f>
        <v>16153.792911200002</v>
      </c>
    </row>
    <row r="435" spans="1:11" ht="15.75" customHeight="1" x14ac:dyDescent="0.25">
      <c r="A435" s="9" t="s">
        <v>585</v>
      </c>
      <c r="B435" s="9" t="s">
        <v>493</v>
      </c>
      <c r="C435" s="10" t="s">
        <v>494</v>
      </c>
      <c r="D435" s="16" t="s">
        <v>24</v>
      </c>
      <c r="E435" s="17">
        <v>428</v>
      </c>
      <c r="F435" s="14">
        <v>4.3</v>
      </c>
      <c r="G435" s="14">
        <v>4.99</v>
      </c>
      <c r="H435" s="14"/>
      <c r="I435" s="13">
        <f t="shared" si="48"/>
        <v>5.34877</v>
      </c>
      <c r="J435" s="14">
        <f t="shared" si="49"/>
        <v>6.2070610000000004</v>
      </c>
      <c r="K435" s="14"/>
    </row>
    <row r="436" spans="1:11" ht="15.75" customHeight="1" x14ac:dyDescent="0.25">
      <c r="A436" s="9"/>
      <c r="B436" s="9"/>
      <c r="C436" s="10"/>
      <c r="D436" s="16"/>
      <c r="E436" s="17"/>
      <c r="F436" s="14">
        <f>E435*F435</f>
        <v>1840.3999999999999</v>
      </c>
      <c r="G436" s="14">
        <f>E435*G435</f>
        <v>2135.7200000000003</v>
      </c>
      <c r="H436" s="14">
        <f>SUM(F436,G436)</f>
        <v>3976.12</v>
      </c>
      <c r="I436" s="13">
        <f t="shared" si="48"/>
        <v>2289.2735599999996</v>
      </c>
      <c r="J436" s="14">
        <f t="shared" si="49"/>
        <v>2656.6221080000005</v>
      </c>
      <c r="K436" s="14">
        <f t="shared" ref="K436" si="60">J436+I436</f>
        <v>4945.8956680000001</v>
      </c>
    </row>
    <row r="437" spans="1:11" ht="15.75" customHeight="1" x14ac:dyDescent="0.25">
      <c r="A437" s="9" t="s">
        <v>588</v>
      </c>
      <c r="B437" s="9" t="s">
        <v>495</v>
      </c>
      <c r="C437" s="10" t="s">
        <v>496</v>
      </c>
      <c r="D437" s="16" t="s">
        <v>24</v>
      </c>
      <c r="E437" s="17">
        <v>348.25</v>
      </c>
      <c r="F437" s="14">
        <v>6.5</v>
      </c>
      <c r="G437" s="14">
        <v>5.91</v>
      </c>
      <c r="H437" s="14"/>
      <c r="I437" s="13">
        <f t="shared" si="48"/>
        <v>8.08535</v>
      </c>
      <c r="J437" s="14">
        <f t="shared" si="49"/>
        <v>7.3514490000000006</v>
      </c>
      <c r="K437" s="14"/>
    </row>
    <row r="438" spans="1:11" ht="15.75" customHeight="1" x14ac:dyDescent="0.25">
      <c r="A438" s="9"/>
      <c r="B438" s="9"/>
      <c r="C438" s="10"/>
      <c r="D438" s="16"/>
      <c r="E438" s="17"/>
      <c r="F438" s="14">
        <f>E437*F437</f>
        <v>2263.625</v>
      </c>
      <c r="G438" s="14">
        <f>E437*G437</f>
        <v>2058.1575000000003</v>
      </c>
      <c r="H438" s="14">
        <f>SUM(F438,G438)</f>
        <v>4321.7825000000003</v>
      </c>
      <c r="I438" s="13">
        <f t="shared" si="48"/>
        <v>2815.7231375000001</v>
      </c>
      <c r="J438" s="14">
        <f t="shared" si="49"/>
        <v>2560.1421142500003</v>
      </c>
      <c r="K438" s="14">
        <f t="shared" ref="K438" si="61">J438+I438</f>
        <v>5375.8652517500004</v>
      </c>
    </row>
    <row r="439" spans="1:11" ht="15.75" customHeight="1" x14ac:dyDescent="0.25">
      <c r="A439" s="9" t="s">
        <v>813</v>
      </c>
      <c r="B439" s="9" t="s">
        <v>497</v>
      </c>
      <c r="C439" s="10" t="s">
        <v>498</v>
      </c>
      <c r="D439" s="16" t="s">
        <v>24</v>
      </c>
      <c r="E439" s="17">
        <v>325</v>
      </c>
      <c r="F439" s="14">
        <v>12.9</v>
      </c>
      <c r="G439" s="18">
        <v>3.91</v>
      </c>
      <c r="H439" s="14"/>
      <c r="I439" s="13">
        <f t="shared" si="48"/>
        <v>16.046310000000002</v>
      </c>
      <c r="J439" s="14">
        <f t="shared" si="49"/>
        <v>4.8636490000000006</v>
      </c>
      <c r="K439" s="14"/>
    </row>
    <row r="440" spans="1:11" ht="15.75" customHeight="1" x14ac:dyDescent="0.25">
      <c r="A440" s="9"/>
      <c r="B440" s="9"/>
      <c r="C440" s="10"/>
      <c r="D440" s="16"/>
      <c r="E440" s="17"/>
      <c r="F440" s="14">
        <f>E439*F439</f>
        <v>4192.5</v>
      </c>
      <c r="G440" s="14">
        <f>E439*G439</f>
        <v>1270.75</v>
      </c>
      <c r="H440" s="14">
        <f>SUM(F440,G440)</f>
        <v>5463.25</v>
      </c>
      <c r="I440" s="13">
        <f t="shared" si="48"/>
        <v>5215.0507500000003</v>
      </c>
      <c r="J440" s="14">
        <f t="shared" si="49"/>
        <v>1580.685925</v>
      </c>
      <c r="K440" s="14">
        <f t="shared" ref="K440" si="62">J440+I440</f>
        <v>6795.7366750000001</v>
      </c>
    </row>
    <row r="441" spans="1:11" ht="15.75" customHeight="1" x14ac:dyDescent="0.25">
      <c r="A441" s="9" t="s">
        <v>814</v>
      </c>
      <c r="B441" s="9" t="s">
        <v>499</v>
      </c>
      <c r="C441" s="10" t="s">
        <v>500</v>
      </c>
      <c r="D441" s="16" t="s">
        <v>24</v>
      </c>
      <c r="E441" s="17">
        <v>122.5</v>
      </c>
      <c r="F441" s="14">
        <v>22.9</v>
      </c>
      <c r="G441" s="14">
        <v>5.19</v>
      </c>
      <c r="H441" s="14"/>
      <c r="I441" s="13">
        <f t="shared" si="48"/>
        <v>28.485309999999998</v>
      </c>
      <c r="J441" s="14">
        <f t="shared" si="49"/>
        <v>6.4558410000000004</v>
      </c>
      <c r="K441" s="14"/>
    </row>
    <row r="442" spans="1:11" ht="15.75" customHeight="1" x14ac:dyDescent="0.25">
      <c r="A442" s="9"/>
      <c r="B442" s="9"/>
      <c r="C442" s="10"/>
      <c r="D442" s="16"/>
      <c r="E442" s="17"/>
      <c r="F442" s="14">
        <f>E441*F441</f>
        <v>2805.25</v>
      </c>
      <c r="G442" s="14">
        <f>E441*G441</f>
        <v>635.77500000000009</v>
      </c>
      <c r="H442" s="14">
        <f>SUM(F442,G442)</f>
        <v>3441.0250000000001</v>
      </c>
      <c r="I442" s="13">
        <f t="shared" si="48"/>
        <v>3489.4504750000001</v>
      </c>
      <c r="J442" s="14">
        <f t="shared" si="49"/>
        <v>790.84052250000013</v>
      </c>
      <c r="K442" s="14">
        <f t="shared" ref="K442" si="63">J442+I442</f>
        <v>4280.2909975000002</v>
      </c>
    </row>
    <row r="443" spans="1:11" ht="15.75" customHeight="1" x14ac:dyDescent="0.25">
      <c r="A443" s="9" t="s">
        <v>815</v>
      </c>
      <c r="B443" s="41" t="s">
        <v>48</v>
      </c>
      <c r="C443" s="42" t="s">
        <v>501</v>
      </c>
      <c r="D443" s="43" t="s">
        <v>24</v>
      </c>
      <c r="E443" s="44">
        <v>26.7</v>
      </c>
      <c r="F443" s="45">
        <v>34.44</v>
      </c>
      <c r="G443" s="45">
        <v>8.61</v>
      </c>
      <c r="H443" s="46"/>
      <c r="I443" s="13">
        <f t="shared" si="48"/>
        <v>42.839915999999995</v>
      </c>
      <c r="J443" s="14">
        <f t="shared" si="49"/>
        <v>10.709978999999999</v>
      </c>
      <c r="K443" s="14"/>
    </row>
    <row r="444" spans="1:11" ht="15.75" customHeight="1" x14ac:dyDescent="0.25">
      <c r="A444" s="9"/>
      <c r="B444" s="9"/>
      <c r="C444" s="10"/>
      <c r="D444" s="16"/>
      <c r="E444" s="17"/>
      <c r="F444" s="14">
        <f>E443*F443</f>
        <v>919.54799999999989</v>
      </c>
      <c r="G444" s="14">
        <f>E443*G443</f>
        <v>229.88699999999997</v>
      </c>
      <c r="H444" s="14">
        <f>SUM(F444,G444)</f>
        <v>1149.4349999999999</v>
      </c>
      <c r="I444" s="13">
        <f t="shared" si="48"/>
        <v>1143.8257571999998</v>
      </c>
      <c r="J444" s="14">
        <f t="shared" si="49"/>
        <v>285.95643929999994</v>
      </c>
      <c r="K444" s="14">
        <f t="shared" ref="K444" si="64">J444+I444</f>
        <v>1429.7821964999998</v>
      </c>
    </row>
    <row r="445" spans="1:11" ht="15.75" customHeight="1" x14ac:dyDescent="0.25">
      <c r="A445" s="9" t="s">
        <v>816</v>
      </c>
      <c r="B445" s="41" t="s">
        <v>48</v>
      </c>
      <c r="C445" s="47" t="s">
        <v>502</v>
      </c>
      <c r="D445" s="43" t="s">
        <v>24</v>
      </c>
      <c r="E445" s="44">
        <v>235.15</v>
      </c>
      <c r="F445" s="45">
        <v>39.299999999999997</v>
      </c>
      <c r="G445" s="45">
        <v>9.83</v>
      </c>
      <c r="H445" s="46"/>
      <c r="I445" s="13">
        <f t="shared" si="48"/>
        <v>48.885269999999998</v>
      </c>
      <c r="J445" s="14">
        <f t="shared" si="49"/>
        <v>12.227537</v>
      </c>
      <c r="K445" s="14"/>
    </row>
    <row r="446" spans="1:11" ht="15.75" customHeight="1" x14ac:dyDescent="0.25">
      <c r="A446" s="9"/>
      <c r="B446" s="9"/>
      <c r="C446" s="10"/>
      <c r="D446" s="16"/>
      <c r="E446" s="17"/>
      <c r="F446" s="14">
        <f>E445*F445</f>
        <v>9241.3950000000004</v>
      </c>
      <c r="G446" s="14">
        <f>E445*G445</f>
        <v>2311.5245</v>
      </c>
      <c r="H446" s="14">
        <f>SUM(F446,G446)</f>
        <v>11552.9195</v>
      </c>
      <c r="I446" s="13">
        <f t="shared" si="48"/>
        <v>11495.371240500001</v>
      </c>
      <c r="J446" s="14">
        <f t="shared" si="49"/>
        <v>2875.3053255499999</v>
      </c>
      <c r="K446" s="14">
        <f t="shared" ref="K446" si="65">J446+I446</f>
        <v>14370.67656605</v>
      </c>
    </row>
    <row r="447" spans="1:11" ht="15.75" customHeight="1" x14ac:dyDescent="0.25">
      <c r="A447" s="9" t="s">
        <v>817</v>
      </c>
      <c r="B447" s="9" t="s">
        <v>503</v>
      </c>
      <c r="C447" s="10" t="s">
        <v>504</v>
      </c>
      <c r="D447" s="16" t="s">
        <v>47</v>
      </c>
      <c r="E447" s="17">
        <v>20</v>
      </c>
      <c r="F447" s="14">
        <v>81.28</v>
      </c>
      <c r="G447" s="14">
        <v>84.4</v>
      </c>
      <c r="H447" s="14"/>
      <c r="I447" s="13">
        <f t="shared" si="48"/>
        <v>101.104192</v>
      </c>
      <c r="J447" s="14">
        <f t="shared" si="49"/>
        <v>104.98516000000001</v>
      </c>
      <c r="K447" s="14"/>
    </row>
    <row r="448" spans="1:11" ht="15.75" customHeight="1" x14ac:dyDescent="0.25">
      <c r="A448" s="9"/>
      <c r="B448" s="9"/>
      <c r="C448" s="10"/>
      <c r="D448" s="16"/>
      <c r="E448" s="17"/>
      <c r="F448" s="14">
        <f>E447*F447</f>
        <v>1625.6</v>
      </c>
      <c r="G448" s="14">
        <f>E447*G447</f>
        <v>1688</v>
      </c>
      <c r="H448" s="14">
        <f>SUM(F448,G448)</f>
        <v>3313.6</v>
      </c>
      <c r="I448" s="13">
        <f t="shared" si="48"/>
        <v>2022.08384</v>
      </c>
      <c r="J448" s="14">
        <f t="shared" si="49"/>
        <v>2099.7031999999999</v>
      </c>
      <c r="K448" s="14">
        <f t="shared" ref="K448" si="66">J448+I448</f>
        <v>4121.7870400000002</v>
      </c>
    </row>
    <row r="449" spans="1:11" ht="15.75" customHeight="1" x14ac:dyDescent="0.25">
      <c r="A449" s="9" t="s">
        <v>818</v>
      </c>
      <c r="B449" s="41" t="s">
        <v>505</v>
      </c>
      <c r="C449" s="42" t="s">
        <v>506</v>
      </c>
      <c r="D449" s="43" t="s">
        <v>47</v>
      </c>
      <c r="E449" s="44">
        <v>16</v>
      </c>
      <c r="F449" s="45">
        <v>91.93</v>
      </c>
      <c r="G449" s="48">
        <v>22.99</v>
      </c>
      <c r="H449" s="46"/>
      <c r="I449" s="13">
        <f t="shared" si="48"/>
        <v>114.35172700000001</v>
      </c>
      <c r="J449" s="14">
        <f t="shared" si="49"/>
        <v>28.597261</v>
      </c>
      <c r="K449" s="14"/>
    </row>
    <row r="450" spans="1:11" ht="15.75" customHeight="1" x14ac:dyDescent="0.25">
      <c r="A450" s="9"/>
      <c r="B450" s="9"/>
      <c r="C450" s="10"/>
      <c r="D450" s="16"/>
      <c r="E450" s="17"/>
      <c r="F450" s="14">
        <f>E449*F449</f>
        <v>1470.88</v>
      </c>
      <c r="G450" s="14">
        <f>E449*G449</f>
        <v>367.84</v>
      </c>
      <c r="H450" s="14">
        <f>SUM(F450,G450)</f>
        <v>1838.72</v>
      </c>
      <c r="I450" s="13">
        <f t="shared" si="48"/>
        <v>1829.6276320000002</v>
      </c>
      <c r="J450" s="14">
        <f t="shared" si="49"/>
        <v>457.55617599999999</v>
      </c>
      <c r="K450" s="14">
        <f t="shared" ref="K450" si="67">J450+I450</f>
        <v>2287.1838080000002</v>
      </c>
    </row>
    <row r="451" spans="1:11" ht="15.75" customHeight="1" x14ac:dyDescent="0.25">
      <c r="A451" s="9" t="s">
        <v>819</v>
      </c>
      <c r="B451" s="9" t="s">
        <v>507</v>
      </c>
      <c r="C451" s="10" t="s">
        <v>508</v>
      </c>
      <c r="D451" s="16" t="s">
        <v>47</v>
      </c>
      <c r="E451" s="17">
        <v>302</v>
      </c>
      <c r="F451" s="14">
        <v>4.51</v>
      </c>
      <c r="G451" s="14">
        <v>7.66</v>
      </c>
      <c r="H451" s="14"/>
      <c r="I451" s="13">
        <f t="shared" si="48"/>
        <v>5.6099889999999997</v>
      </c>
      <c r="J451" s="14">
        <f t="shared" si="49"/>
        <v>9.5282739999999997</v>
      </c>
      <c r="K451" s="14"/>
    </row>
    <row r="452" spans="1:11" ht="15.75" customHeight="1" x14ac:dyDescent="0.25">
      <c r="A452" s="9"/>
      <c r="B452" s="9"/>
      <c r="C452" s="10"/>
      <c r="D452" s="16"/>
      <c r="E452" s="17"/>
      <c r="F452" s="14">
        <f>E451*F451</f>
        <v>1362.02</v>
      </c>
      <c r="G452" s="14">
        <f>E451*G451</f>
        <v>2313.3200000000002</v>
      </c>
      <c r="H452" s="14">
        <f>SUM(F452,G452)</f>
        <v>3675.34</v>
      </c>
      <c r="I452" s="13">
        <f t="shared" si="48"/>
        <v>1694.216678</v>
      </c>
      <c r="J452" s="14">
        <f t="shared" si="49"/>
        <v>2877.5387480000004</v>
      </c>
      <c r="K452" s="14">
        <f t="shared" ref="K452" si="68">J452+I452</f>
        <v>4571.7554260000006</v>
      </c>
    </row>
    <row r="453" spans="1:11" ht="15.75" customHeight="1" x14ac:dyDescent="0.25">
      <c r="A453" s="9" t="s">
        <v>820</v>
      </c>
      <c r="B453" s="9" t="s">
        <v>509</v>
      </c>
      <c r="C453" s="10" t="s">
        <v>510</v>
      </c>
      <c r="D453" s="16" t="s">
        <v>47</v>
      </c>
      <c r="E453" s="17">
        <v>13</v>
      </c>
      <c r="F453" s="14">
        <v>6.61</v>
      </c>
      <c r="G453" s="14">
        <v>8.75</v>
      </c>
      <c r="H453" s="14"/>
      <c r="I453" s="13">
        <f t="shared" si="48"/>
        <v>8.2221790000000006</v>
      </c>
      <c r="J453" s="14">
        <f t="shared" si="49"/>
        <v>10.884125000000001</v>
      </c>
      <c r="K453" s="14"/>
    </row>
    <row r="454" spans="1:11" ht="15.75" customHeight="1" x14ac:dyDescent="0.25">
      <c r="A454" s="9"/>
      <c r="B454" s="9"/>
      <c r="C454" s="10"/>
      <c r="D454" s="16"/>
      <c r="E454" s="17"/>
      <c r="F454" s="14">
        <f>E453*F453</f>
        <v>85.93</v>
      </c>
      <c r="G454" s="14">
        <f>E453*G453</f>
        <v>113.75</v>
      </c>
      <c r="H454" s="14">
        <f>SUM(F454,G454)</f>
        <v>199.68</v>
      </c>
      <c r="I454" s="13">
        <f t="shared" si="48"/>
        <v>106.888327</v>
      </c>
      <c r="J454" s="14">
        <f t="shared" si="49"/>
        <v>141.49362500000001</v>
      </c>
      <c r="K454" s="14">
        <f t="shared" ref="K454" si="69">J454+I454</f>
        <v>248.38195200000001</v>
      </c>
    </row>
    <row r="455" spans="1:11" ht="15.75" customHeight="1" x14ac:dyDescent="0.25">
      <c r="A455" s="9" t="s">
        <v>821</v>
      </c>
      <c r="B455" s="9" t="s">
        <v>511</v>
      </c>
      <c r="C455" s="10" t="s">
        <v>512</v>
      </c>
      <c r="D455" s="16" t="s">
        <v>47</v>
      </c>
      <c r="E455" s="17">
        <v>2</v>
      </c>
      <c r="F455" s="14">
        <v>3</v>
      </c>
      <c r="G455" s="14">
        <v>4.3899999999999997</v>
      </c>
      <c r="H455" s="14"/>
      <c r="I455" s="13">
        <f t="shared" si="48"/>
        <v>3.7317</v>
      </c>
      <c r="J455" s="14">
        <f t="shared" si="49"/>
        <v>5.4607209999999995</v>
      </c>
      <c r="K455" s="14"/>
    </row>
    <row r="456" spans="1:11" ht="15.75" customHeight="1" x14ac:dyDescent="0.25">
      <c r="A456" s="9"/>
      <c r="B456" s="9"/>
      <c r="C456" s="10"/>
      <c r="D456" s="16"/>
      <c r="E456" s="17"/>
      <c r="F456" s="14">
        <f>E455*F455</f>
        <v>6</v>
      </c>
      <c r="G456" s="14">
        <f>E455*G455</f>
        <v>8.7799999999999994</v>
      </c>
      <c r="H456" s="14">
        <f>SUM(F456,G456)</f>
        <v>14.78</v>
      </c>
      <c r="I456" s="13">
        <f t="shared" si="48"/>
        <v>7.4634</v>
      </c>
      <c r="J456" s="14">
        <f t="shared" si="49"/>
        <v>10.921441999999999</v>
      </c>
      <c r="K456" s="14">
        <f t="shared" ref="K456" si="70">J456+I456</f>
        <v>18.384841999999999</v>
      </c>
    </row>
    <row r="457" spans="1:11" ht="15.75" customHeight="1" x14ac:dyDescent="0.25">
      <c r="A457" s="9" t="s">
        <v>822</v>
      </c>
      <c r="B457" s="9" t="s">
        <v>513</v>
      </c>
      <c r="C457" s="10" t="s">
        <v>514</v>
      </c>
      <c r="D457" s="16" t="s">
        <v>47</v>
      </c>
      <c r="E457" s="17">
        <v>161</v>
      </c>
      <c r="F457" s="14">
        <v>4.4400000000000004</v>
      </c>
      <c r="G457" s="14">
        <v>4.37</v>
      </c>
      <c r="H457" s="14"/>
      <c r="I457" s="13">
        <f t="shared" si="48"/>
        <v>5.5229160000000004</v>
      </c>
      <c r="J457" s="14">
        <f t="shared" si="49"/>
        <v>5.4358430000000002</v>
      </c>
      <c r="K457" s="14"/>
    </row>
    <row r="458" spans="1:11" ht="15.75" customHeight="1" x14ac:dyDescent="0.25">
      <c r="A458" s="9"/>
      <c r="B458" s="9"/>
      <c r="C458" s="10"/>
      <c r="D458" s="16"/>
      <c r="E458" s="17"/>
      <c r="F458" s="14">
        <f>E457*F457</f>
        <v>714.84</v>
      </c>
      <c r="G458" s="14">
        <f>E457*G457</f>
        <v>703.57</v>
      </c>
      <c r="H458" s="14">
        <f>SUM(F458,G458)</f>
        <v>1418.41</v>
      </c>
      <c r="I458" s="13">
        <f t="shared" si="48"/>
        <v>889.18947600000001</v>
      </c>
      <c r="J458" s="14">
        <f t="shared" si="49"/>
        <v>875.17072300000007</v>
      </c>
      <c r="K458" s="14">
        <f t="shared" ref="K458" si="71">J458+I458</f>
        <v>1764.3601990000002</v>
      </c>
    </row>
    <row r="459" spans="1:11" ht="15.75" customHeight="1" x14ac:dyDescent="0.25">
      <c r="A459" s="9" t="s">
        <v>823</v>
      </c>
      <c r="B459" s="9" t="s">
        <v>515</v>
      </c>
      <c r="C459" s="10" t="s">
        <v>516</v>
      </c>
      <c r="D459" s="16" t="s">
        <v>47</v>
      </c>
      <c r="E459" s="17">
        <v>22</v>
      </c>
      <c r="F459" s="14">
        <v>4.33</v>
      </c>
      <c r="G459" s="18">
        <v>4.38</v>
      </c>
      <c r="H459" s="14"/>
      <c r="I459" s="13">
        <f t="shared" si="48"/>
        <v>5.3860869999999998</v>
      </c>
      <c r="J459" s="14">
        <f t="shared" si="49"/>
        <v>5.4482819999999998</v>
      </c>
      <c r="K459" s="14"/>
    </row>
    <row r="460" spans="1:11" ht="15.75" customHeight="1" x14ac:dyDescent="0.25">
      <c r="A460" s="9"/>
      <c r="B460" s="9"/>
      <c r="C460" s="10"/>
      <c r="D460" s="16"/>
      <c r="E460" s="17"/>
      <c r="F460" s="14">
        <f>E459*F459</f>
        <v>95.26</v>
      </c>
      <c r="G460" s="14">
        <f>E459*G459</f>
        <v>96.36</v>
      </c>
      <c r="H460" s="14">
        <f>SUM(F460,G460)</f>
        <v>191.62</v>
      </c>
      <c r="I460" s="13">
        <f t="shared" si="48"/>
        <v>118.493914</v>
      </c>
      <c r="J460" s="14">
        <f t="shared" si="49"/>
        <v>119.86220400000001</v>
      </c>
      <c r="K460" s="14">
        <f t="shared" ref="K460" si="72">J460+I460</f>
        <v>238.35611800000001</v>
      </c>
    </row>
    <row r="461" spans="1:11" ht="15.75" customHeight="1" x14ac:dyDescent="0.25">
      <c r="A461" s="9" t="s">
        <v>824</v>
      </c>
      <c r="B461" s="9" t="s">
        <v>517</v>
      </c>
      <c r="C461" s="10" t="s">
        <v>518</v>
      </c>
      <c r="D461" s="16" t="s">
        <v>24</v>
      </c>
      <c r="E461" s="17">
        <v>163</v>
      </c>
      <c r="F461" s="14">
        <v>10.35</v>
      </c>
      <c r="G461" s="14">
        <v>8.7899999999999991</v>
      </c>
      <c r="H461" s="14"/>
      <c r="I461" s="13">
        <f t="shared" si="48"/>
        <v>12.874364999999999</v>
      </c>
      <c r="J461" s="14">
        <f t="shared" si="49"/>
        <v>10.933881</v>
      </c>
      <c r="K461" s="14"/>
    </row>
    <row r="462" spans="1:11" ht="15.75" customHeight="1" x14ac:dyDescent="0.25">
      <c r="A462" s="9"/>
      <c r="B462" s="9"/>
      <c r="C462" s="10"/>
      <c r="D462" s="16"/>
      <c r="E462" s="17"/>
      <c r="F462" s="14">
        <f>E461*F461</f>
        <v>1687.05</v>
      </c>
      <c r="G462" s="14">
        <f>E461*G461</f>
        <v>1432.7699999999998</v>
      </c>
      <c r="H462" s="14">
        <f>SUM(F462,G462)</f>
        <v>3119.8199999999997</v>
      </c>
      <c r="I462" s="13">
        <f t="shared" si="48"/>
        <v>2098.521495</v>
      </c>
      <c r="J462" s="14">
        <f t="shared" si="49"/>
        <v>1782.2226029999997</v>
      </c>
      <c r="K462" s="14">
        <f t="shared" ref="K462" si="73">J462+I462</f>
        <v>3880.7440979999997</v>
      </c>
    </row>
    <row r="463" spans="1:11" ht="15.75" customHeight="1" x14ac:dyDescent="0.25">
      <c r="A463" s="9" t="s">
        <v>825</v>
      </c>
      <c r="B463" s="9" t="s">
        <v>519</v>
      </c>
      <c r="C463" s="10" t="s">
        <v>520</v>
      </c>
      <c r="D463" s="16" t="s">
        <v>19</v>
      </c>
      <c r="E463" s="17">
        <v>47</v>
      </c>
      <c r="F463" s="14">
        <v>20.7</v>
      </c>
      <c r="G463" s="14">
        <v>50.46</v>
      </c>
      <c r="H463" s="14"/>
      <c r="I463" s="13">
        <f t="shared" si="48"/>
        <v>25.748729999999998</v>
      </c>
      <c r="J463" s="14">
        <f t="shared" si="49"/>
        <v>62.767194000000003</v>
      </c>
      <c r="K463" s="14"/>
    </row>
    <row r="464" spans="1:11" ht="15.75" customHeight="1" x14ac:dyDescent="0.25">
      <c r="A464" s="9"/>
      <c r="B464" s="9"/>
      <c r="C464" s="10"/>
      <c r="D464" s="16"/>
      <c r="E464" s="17"/>
      <c r="F464" s="14">
        <f>E463*F463</f>
        <v>972.9</v>
      </c>
      <c r="G464" s="14">
        <f>E463*G463</f>
        <v>2371.62</v>
      </c>
      <c r="H464" s="14">
        <f>SUM(F464,G464)</f>
        <v>3344.52</v>
      </c>
      <c r="I464" s="13">
        <f t="shared" si="48"/>
        <v>1210.19031</v>
      </c>
      <c r="J464" s="14">
        <f t="shared" si="49"/>
        <v>2950.0581179999999</v>
      </c>
      <c r="K464" s="14">
        <f t="shared" ref="K464" si="74">J464+I464</f>
        <v>4160.2484279999999</v>
      </c>
    </row>
    <row r="465" spans="1:11" ht="15.75" customHeight="1" x14ac:dyDescent="0.25">
      <c r="A465" s="9" t="s">
        <v>826</v>
      </c>
      <c r="B465" s="9" t="s">
        <v>521</v>
      </c>
      <c r="C465" s="10" t="s">
        <v>522</v>
      </c>
      <c r="D465" s="16" t="s">
        <v>24</v>
      </c>
      <c r="E465" s="17">
        <v>5077</v>
      </c>
      <c r="F465" s="14">
        <v>1.76</v>
      </c>
      <c r="G465" s="14">
        <v>0.91</v>
      </c>
      <c r="H465" s="14"/>
      <c r="I465" s="13">
        <f t="shared" si="48"/>
        <v>2.1892640000000001</v>
      </c>
      <c r="J465" s="14">
        <f t="shared" si="49"/>
        <v>1.1319490000000001</v>
      </c>
      <c r="K465" s="14"/>
    </row>
    <row r="466" spans="1:11" ht="15.75" customHeight="1" x14ac:dyDescent="0.25">
      <c r="A466" s="9"/>
      <c r="B466" s="9"/>
      <c r="C466" s="10"/>
      <c r="D466" s="16"/>
      <c r="E466" s="17"/>
      <c r="F466" s="14">
        <f>E465*F465</f>
        <v>8935.52</v>
      </c>
      <c r="G466" s="14">
        <f>E465*G465</f>
        <v>4620.07</v>
      </c>
      <c r="H466" s="14">
        <f>SUM(F466,G466)</f>
        <v>13555.59</v>
      </c>
      <c r="I466" s="13">
        <f t="shared" si="48"/>
        <v>11114.893328</v>
      </c>
      <c r="J466" s="14">
        <f t="shared" si="49"/>
        <v>5746.9050729999999</v>
      </c>
      <c r="K466" s="14">
        <f t="shared" ref="K466" si="75">J466+I466</f>
        <v>16861.798401</v>
      </c>
    </row>
    <row r="467" spans="1:11" ht="15.75" customHeight="1" x14ac:dyDescent="0.25">
      <c r="A467" s="9" t="s">
        <v>827</v>
      </c>
      <c r="B467" s="9" t="s">
        <v>523</v>
      </c>
      <c r="C467" s="10" t="s">
        <v>524</v>
      </c>
      <c r="D467" s="16" t="s">
        <v>24</v>
      </c>
      <c r="E467" s="17">
        <v>411</v>
      </c>
      <c r="F467" s="14">
        <v>3.02</v>
      </c>
      <c r="G467" s="14">
        <v>1.21</v>
      </c>
      <c r="H467" s="14"/>
      <c r="I467" s="13">
        <f t="shared" si="48"/>
        <v>3.7565780000000002</v>
      </c>
      <c r="J467" s="14">
        <f t="shared" si="49"/>
        <v>1.5051189999999999</v>
      </c>
      <c r="K467" s="14"/>
    </row>
    <row r="468" spans="1:11" ht="15.75" customHeight="1" x14ac:dyDescent="0.25">
      <c r="A468" s="9"/>
      <c r="B468" s="9"/>
      <c r="C468" s="10"/>
      <c r="D468" s="16"/>
      <c r="E468" s="17"/>
      <c r="F468" s="14">
        <f>E467*F467</f>
        <v>1241.22</v>
      </c>
      <c r="G468" s="14">
        <f>E467*G467</f>
        <v>497.31</v>
      </c>
      <c r="H468" s="14">
        <f>SUM(F468,G468)</f>
        <v>1738.53</v>
      </c>
      <c r="I468" s="13">
        <f t="shared" si="48"/>
        <v>1543.9535579999999</v>
      </c>
      <c r="J468" s="14">
        <f t="shared" si="49"/>
        <v>618.60390900000004</v>
      </c>
      <c r="K468" s="14">
        <f t="shared" ref="K468" si="76">J468+I468</f>
        <v>2162.5574670000001</v>
      </c>
    </row>
    <row r="469" spans="1:11" ht="15.75" customHeight="1" x14ac:dyDescent="0.25">
      <c r="A469" s="9" t="s">
        <v>828</v>
      </c>
      <c r="B469" s="9" t="s">
        <v>525</v>
      </c>
      <c r="C469" s="10" t="s">
        <v>526</v>
      </c>
      <c r="D469" s="16" t="s">
        <v>24</v>
      </c>
      <c r="E469" s="17">
        <v>782</v>
      </c>
      <c r="F469" s="14">
        <v>4.18</v>
      </c>
      <c r="G469" s="18">
        <v>1.57</v>
      </c>
      <c r="H469" s="14"/>
      <c r="I469" s="13">
        <f t="shared" si="48"/>
        <v>5.1995019999999998</v>
      </c>
      <c r="J469" s="14">
        <f t="shared" si="49"/>
        <v>1.9529230000000002</v>
      </c>
      <c r="K469" s="14"/>
    </row>
    <row r="470" spans="1:11" ht="15.75" customHeight="1" x14ac:dyDescent="0.25">
      <c r="A470" s="9"/>
      <c r="B470" s="9"/>
      <c r="C470" s="10"/>
      <c r="D470" s="16"/>
      <c r="E470" s="17"/>
      <c r="F470" s="14">
        <f>E469*F469</f>
        <v>3268.7599999999998</v>
      </c>
      <c r="G470" s="14">
        <f>E469*G469</f>
        <v>1227.74</v>
      </c>
      <c r="H470" s="14">
        <f>SUM(F470,G470)</f>
        <v>4496.5</v>
      </c>
      <c r="I470" s="13">
        <f t="shared" si="48"/>
        <v>4066.0105639999997</v>
      </c>
      <c r="J470" s="14">
        <f t="shared" si="49"/>
        <v>1527.185786</v>
      </c>
      <c r="K470" s="14">
        <f t="shared" ref="K470" si="77">J470+I470</f>
        <v>5593.1963500000002</v>
      </c>
    </row>
    <row r="471" spans="1:11" ht="15.75" customHeight="1" x14ac:dyDescent="0.25">
      <c r="A471" s="9" t="s">
        <v>829</v>
      </c>
      <c r="B471" s="9" t="s">
        <v>527</v>
      </c>
      <c r="C471" s="10" t="s">
        <v>528</v>
      </c>
      <c r="D471" s="16" t="s">
        <v>24</v>
      </c>
      <c r="E471" s="17">
        <v>326</v>
      </c>
      <c r="F471" s="14">
        <v>7.01</v>
      </c>
      <c r="G471" s="14">
        <v>2.33</v>
      </c>
      <c r="H471" s="14"/>
      <c r="I471" s="13">
        <f t="shared" si="48"/>
        <v>8.7197390000000006</v>
      </c>
      <c r="J471" s="14">
        <f t="shared" si="49"/>
        <v>2.8982870000000003</v>
      </c>
      <c r="K471" s="14"/>
    </row>
    <row r="472" spans="1:11" ht="15.75" customHeight="1" x14ac:dyDescent="0.25">
      <c r="A472" s="9"/>
      <c r="B472" s="9"/>
      <c r="C472" s="10"/>
      <c r="D472" s="16"/>
      <c r="E472" s="17"/>
      <c r="F472" s="14">
        <f>E471*F471</f>
        <v>2285.2599999999998</v>
      </c>
      <c r="G472" s="14">
        <f>E471*G471</f>
        <v>759.58</v>
      </c>
      <c r="H472" s="14">
        <f>SUM(F472,G472)</f>
        <v>3044.8399999999997</v>
      </c>
      <c r="I472" s="13">
        <f t="shared" si="48"/>
        <v>2842.6349139999998</v>
      </c>
      <c r="J472" s="14">
        <f t="shared" si="49"/>
        <v>944.84156200000007</v>
      </c>
      <c r="K472" s="14">
        <f t="shared" ref="K472" si="78">J472+I472</f>
        <v>3787.4764759999998</v>
      </c>
    </row>
    <row r="473" spans="1:11" ht="15.75" customHeight="1" x14ac:dyDescent="0.25">
      <c r="A473" s="9" t="s">
        <v>830</v>
      </c>
      <c r="B473" s="9" t="s">
        <v>529</v>
      </c>
      <c r="C473" s="10" t="s">
        <v>530</v>
      </c>
      <c r="D473" s="16" t="s">
        <v>24</v>
      </c>
      <c r="E473" s="17">
        <v>285</v>
      </c>
      <c r="F473" s="14">
        <v>17.02</v>
      </c>
      <c r="G473" s="14">
        <v>9.0500000000000007</v>
      </c>
      <c r="H473" s="14"/>
      <c r="I473" s="13">
        <f t="shared" si="48"/>
        <v>21.171178000000001</v>
      </c>
      <c r="J473" s="14">
        <f t="shared" si="49"/>
        <v>11.257295000000001</v>
      </c>
      <c r="K473" s="14"/>
    </row>
    <row r="474" spans="1:11" ht="15.75" customHeight="1" x14ac:dyDescent="0.25">
      <c r="A474" s="9"/>
      <c r="B474" s="9"/>
      <c r="C474" s="10"/>
      <c r="D474" s="16"/>
      <c r="E474" s="17"/>
      <c r="F474" s="14">
        <f>E473*F473</f>
        <v>4850.7</v>
      </c>
      <c r="G474" s="14">
        <f>E473*G473</f>
        <v>2579.25</v>
      </c>
      <c r="H474" s="14">
        <f>SUM(F474,G474)</f>
        <v>7429.95</v>
      </c>
      <c r="I474" s="13">
        <f t="shared" si="48"/>
        <v>6033.7857299999996</v>
      </c>
      <c r="J474" s="14">
        <f t="shared" si="49"/>
        <v>3208.3290750000001</v>
      </c>
      <c r="K474" s="14">
        <f t="shared" ref="K474" si="79">J474+I474</f>
        <v>9242.1148049999993</v>
      </c>
    </row>
    <row r="475" spans="1:11" ht="15.75" customHeight="1" x14ac:dyDescent="0.25">
      <c r="A475" s="9" t="s">
        <v>831</v>
      </c>
      <c r="B475" s="41" t="s">
        <v>48</v>
      </c>
      <c r="C475" s="42" t="s">
        <v>531</v>
      </c>
      <c r="D475" s="43" t="s">
        <v>24</v>
      </c>
      <c r="E475" s="44">
        <v>5.54</v>
      </c>
      <c r="F475" s="45">
        <v>5.34</v>
      </c>
      <c r="G475" s="45">
        <v>1.34</v>
      </c>
      <c r="H475" s="46"/>
      <c r="I475" s="13">
        <f t="shared" si="48"/>
        <v>6.6424259999999995</v>
      </c>
      <c r="J475" s="14">
        <f t="shared" si="49"/>
        <v>1.6668260000000001</v>
      </c>
      <c r="K475" s="14"/>
    </row>
    <row r="476" spans="1:11" ht="15.75" customHeight="1" x14ac:dyDescent="0.25">
      <c r="A476" s="9"/>
      <c r="B476" s="9"/>
      <c r="C476" s="10"/>
      <c r="D476" s="16"/>
      <c r="E476" s="17"/>
      <c r="F476" s="14">
        <f>E475*F475</f>
        <v>29.583600000000001</v>
      </c>
      <c r="G476" s="14">
        <f>E475*G475</f>
        <v>7.4236000000000004</v>
      </c>
      <c r="H476" s="14">
        <f>SUM(F476,G476)</f>
        <v>37.007199999999997</v>
      </c>
      <c r="I476" s="13">
        <f t="shared" si="48"/>
        <v>36.799040040000001</v>
      </c>
      <c r="J476" s="14">
        <f t="shared" si="49"/>
        <v>9.2342160399999997</v>
      </c>
      <c r="K476" s="14">
        <f t="shared" ref="K476" si="80">J476+I476</f>
        <v>46.033256080000001</v>
      </c>
    </row>
    <row r="477" spans="1:11" ht="15.75" customHeight="1" x14ac:dyDescent="0.25">
      <c r="A477" s="9" t="s">
        <v>832</v>
      </c>
      <c r="B477" s="41" t="s">
        <v>532</v>
      </c>
      <c r="C477" s="42" t="s">
        <v>533</v>
      </c>
      <c r="D477" s="43" t="s">
        <v>24</v>
      </c>
      <c r="E477" s="44">
        <v>1870.85</v>
      </c>
      <c r="F477" s="45">
        <v>7.09</v>
      </c>
      <c r="G477" s="45">
        <v>1.77</v>
      </c>
      <c r="H477" s="46"/>
      <c r="I477" s="13">
        <f t="shared" si="48"/>
        <v>8.8192509999999995</v>
      </c>
      <c r="J477" s="14">
        <f t="shared" si="49"/>
        <v>2.2017030000000002</v>
      </c>
      <c r="K477" s="14"/>
    </row>
    <row r="478" spans="1:11" ht="15.75" customHeight="1" x14ac:dyDescent="0.25">
      <c r="A478" s="9"/>
      <c r="B478" s="9"/>
      <c r="C478" s="10"/>
      <c r="D478" s="16"/>
      <c r="E478" s="17"/>
      <c r="F478" s="14">
        <f>E477*F477</f>
        <v>13264.326499999999</v>
      </c>
      <c r="G478" s="14">
        <f>E477*G477</f>
        <v>3311.4045000000001</v>
      </c>
      <c r="H478" s="14">
        <f>SUM(F478,G478)</f>
        <v>16575.731</v>
      </c>
      <c r="I478" s="13">
        <f t="shared" si="48"/>
        <v>16499.495733349999</v>
      </c>
      <c r="J478" s="14">
        <f t="shared" si="49"/>
        <v>4119.0560575500003</v>
      </c>
      <c r="K478" s="14">
        <f t="shared" ref="K478" si="81">J478+I478</f>
        <v>20618.551790899997</v>
      </c>
    </row>
    <row r="479" spans="1:11" ht="15.75" customHeight="1" x14ac:dyDescent="0.25">
      <c r="A479" s="9" t="s">
        <v>833</v>
      </c>
      <c r="B479" s="41" t="s">
        <v>48</v>
      </c>
      <c r="C479" s="42" t="s">
        <v>534</v>
      </c>
      <c r="D479" s="43" t="s">
        <v>24</v>
      </c>
      <c r="E479" s="44">
        <v>288.89999999999998</v>
      </c>
      <c r="F479" s="45">
        <v>8.1</v>
      </c>
      <c r="G479" s="48">
        <v>2.0299999999999998</v>
      </c>
      <c r="H479" s="46"/>
      <c r="I479" s="13">
        <f t="shared" ref="I479:I518" si="82">F479*1.2439</f>
        <v>10.07559</v>
      </c>
      <c r="J479" s="14">
        <f t="shared" ref="J479:J518" si="83">G479*1.2439</f>
        <v>2.5251169999999998</v>
      </c>
      <c r="K479" s="14"/>
    </row>
    <row r="480" spans="1:11" ht="15.75" customHeight="1" x14ac:dyDescent="0.25">
      <c r="A480" s="9"/>
      <c r="B480" s="9"/>
      <c r="C480" s="10"/>
      <c r="D480" s="16"/>
      <c r="E480" s="17"/>
      <c r="F480" s="14">
        <f>E479*F479</f>
        <v>2340.0899999999997</v>
      </c>
      <c r="G480" s="14">
        <f>E479*G479</f>
        <v>586.46699999999987</v>
      </c>
      <c r="H480" s="14">
        <f>SUM(F480,G480)</f>
        <v>2926.5569999999998</v>
      </c>
      <c r="I480" s="13">
        <f t="shared" si="82"/>
        <v>2910.8379509999995</v>
      </c>
      <c r="J480" s="14">
        <f t="shared" si="83"/>
        <v>729.50630129999979</v>
      </c>
      <c r="K480" s="14">
        <f t="shared" ref="K480" si="84">J480+I480</f>
        <v>3640.3442522999994</v>
      </c>
    </row>
    <row r="481" spans="1:11" ht="15.75" customHeight="1" x14ac:dyDescent="0.25">
      <c r="A481" s="9" t="s">
        <v>834</v>
      </c>
      <c r="B481" s="9" t="s">
        <v>535</v>
      </c>
      <c r="C481" s="10" t="s">
        <v>536</v>
      </c>
      <c r="D481" s="16" t="s">
        <v>47</v>
      </c>
      <c r="E481" s="17">
        <v>187</v>
      </c>
      <c r="F481" s="14">
        <v>15.16</v>
      </c>
      <c r="G481" s="14">
        <v>9.3699999999999992</v>
      </c>
      <c r="H481" s="14"/>
      <c r="I481" s="13">
        <f t="shared" si="82"/>
        <v>18.857524000000002</v>
      </c>
      <c r="J481" s="14">
        <f t="shared" si="83"/>
        <v>11.655342999999998</v>
      </c>
      <c r="K481" s="14"/>
    </row>
    <row r="482" spans="1:11" ht="15.75" customHeight="1" x14ac:dyDescent="0.25">
      <c r="A482" s="9"/>
      <c r="B482" s="9"/>
      <c r="C482" s="10"/>
      <c r="D482" s="16"/>
      <c r="E482" s="17"/>
      <c r="F482" s="14">
        <f>E481*F481</f>
        <v>2834.92</v>
      </c>
      <c r="G482" s="14">
        <f>E481*G481</f>
        <v>1752.1899999999998</v>
      </c>
      <c r="H482" s="14">
        <f>SUM(F482,G482)</f>
        <v>4587.1099999999997</v>
      </c>
      <c r="I482" s="13">
        <f t="shared" si="82"/>
        <v>3526.356988</v>
      </c>
      <c r="J482" s="14">
        <f t="shared" si="83"/>
        <v>2179.549141</v>
      </c>
      <c r="K482" s="14">
        <f t="shared" ref="K482" si="85">J482+I482</f>
        <v>5705.906129</v>
      </c>
    </row>
    <row r="483" spans="1:11" ht="15.75" customHeight="1" x14ac:dyDescent="0.25">
      <c r="A483" s="9" t="s">
        <v>835</v>
      </c>
      <c r="B483" s="9" t="s">
        <v>537</v>
      </c>
      <c r="C483" s="10" t="s">
        <v>538</v>
      </c>
      <c r="D483" s="16" t="s">
        <v>47</v>
      </c>
      <c r="E483" s="17">
        <v>9</v>
      </c>
      <c r="F483" s="14">
        <v>17.32</v>
      </c>
      <c r="G483" s="14">
        <v>9.36</v>
      </c>
      <c r="H483" s="14"/>
      <c r="I483" s="13">
        <f t="shared" si="82"/>
        <v>21.544347999999999</v>
      </c>
      <c r="J483" s="14">
        <f t="shared" si="83"/>
        <v>11.642904</v>
      </c>
      <c r="K483" s="14"/>
    </row>
    <row r="484" spans="1:11" ht="15.75" customHeight="1" x14ac:dyDescent="0.25">
      <c r="A484" s="9"/>
      <c r="B484" s="9"/>
      <c r="C484" s="10"/>
      <c r="D484" s="16"/>
      <c r="E484" s="17"/>
      <c r="F484" s="14">
        <f>E483*F483</f>
        <v>155.88</v>
      </c>
      <c r="G484" s="14">
        <f>E483*G483</f>
        <v>84.24</v>
      </c>
      <c r="H484" s="14">
        <f>SUM(F484,G484)</f>
        <v>240.12</v>
      </c>
      <c r="I484" s="13">
        <f t="shared" si="82"/>
        <v>193.89913200000001</v>
      </c>
      <c r="J484" s="14">
        <f t="shared" si="83"/>
        <v>104.786136</v>
      </c>
      <c r="K484" s="14">
        <f t="shared" ref="K484" si="86">J484+I484</f>
        <v>298.68526800000001</v>
      </c>
    </row>
    <row r="485" spans="1:11" ht="15.75" customHeight="1" x14ac:dyDescent="0.25">
      <c r="A485" s="9" t="s">
        <v>836</v>
      </c>
      <c r="B485" s="9" t="s">
        <v>539</v>
      </c>
      <c r="C485" s="10" t="s">
        <v>540</v>
      </c>
      <c r="D485" s="16" t="s">
        <v>47</v>
      </c>
      <c r="E485" s="17">
        <v>4</v>
      </c>
      <c r="F485" s="14">
        <v>24.71</v>
      </c>
      <c r="G485" s="14">
        <v>14.65</v>
      </c>
      <c r="H485" s="14"/>
      <c r="I485" s="13">
        <f t="shared" si="82"/>
        <v>30.736769000000002</v>
      </c>
      <c r="J485" s="14">
        <f t="shared" si="83"/>
        <v>18.223134999999999</v>
      </c>
      <c r="K485" s="14"/>
    </row>
    <row r="486" spans="1:11" ht="15.75" customHeight="1" x14ac:dyDescent="0.25">
      <c r="A486" s="9"/>
      <c r="B486" s="9"/>
      <c r="C486" s="10"/>
      <c r="D486" s="16"/>
      <c r="E486" s="17"/>
      <c r="F486" s="14">
        <f>E485*F485</f>
        <v>98.84</v>
      </c>
      <c r="G486" s="14">
        <f>E485*G485</f>
        <v>58.6</v>
      </c>
      <c r="H486" s="14">
        <f>SUM(F486,G486)</f>
        <v>157.44</v>
      </c>
      <c r="I486" s="13">
        <f t="shared" si="82"/>
        <v>122.94707600000001</v>
      </c>
      <c r="J486" s="14">
        <f t="shared" si="83"/>
        <v>72.892539999999997</v>
      </c>
      <c r="K486" s="14">
        <f t="shared" ref="K486" si="87">J486+I486</f>
        <v>195.83961600000001</v>
      </c>
    </row>
    <row r="487" spans="1:11" ht="15.75" customHeight="1" x14ac:dyDescent="0.25">
      <c r="A487" s="9" t="s">
        <v>837</v>
      </c>
      <c r="B487" s="9" t="s">
        <v>539</v>
      </c>
      <c r="C487" s="10" t="s">
        <v>541</v>
      </c>
      <c r="D487" s="16" t="s">
        <v>47</v>
      </c>
      <c r="E487" s="17">
        <v>3</v>
      </c>
      <c r="F487" s="14">
        <v>24.71</v>
      </c>
      <c r="G487" s="14">
        <v>14.65</v>
      </c>
      <c r="H487" s="14"/>
      <c r="I487" s="13">
        <f t="shared" si="82"/>
        <v>30.736769000000002</v>
      </c>
      <c r="J487" s="14">
        <f t="shared" si="83"/>
        <v>18.223134999999999</v>
      </c>
      <c r="K487" s="14"/>
    </row>
    <row r="488" spans="1:11" ht="15.75" customHeight="1" x14ac:dyDescent="0.25">
      <c r="A488" s="9"/>
      <c r="B488" s="9"/>
      <c r="C488" s="10"/>
      <c r="D488" s="16"/>
      <c r="E488" s="17"/>
      <c r="F488" s="14">
        <f>E487*F487</f>
        <v>74.13</v>
      </c>
      <c r="G488" s="14">
        <f>E487*G487</f>
        <v>43.95</v>
      </c>
      <c r="H488" s="14">
        <f>SUM(F488,G488)</f>
        <v>118.08</v>
      </c>
      <c r="I488" s="13">
        <f t="shared" si="82"/>
        <v>92.210307</v>
      </c>
      <c r="J488" s="14">
        <f t="shared" si="83"/>
        <v>54.669405000000005</v>
      </c>
      <c r="K488" s="14">
        <f t="shared" ref="K488" si="88">J488+I488</f>
        <v>146.87971200000001</v>
      </c>
    </row>
    <row r="489" spans="1:11" ht="15.75" customHeight="1" x14ac:dyDescent="0.25">
      <c r="A489" s="9" t="s">
        <v>838</v>
      </c>
      <c r="B489" s="9" t="s">
        <v>542</v>
      </c>
      <c r="C489" s="10" t="s">
        <v>543</v>
      </c>
      <c r="D489" s="16" t="s">
        <v>47</v>
      </c>
      <c r="E489" s="17">
        <v>19</v>
      </c>
      <c r="F489" s="14">
        <v>24.47</v>
      </c>
      <c r="G489" s="18">
        <v>16.55</v>
      </c>
      <c r="H489" s="14"/>
      <c r="I489" s="13">
        <f t="shared" si="82"/>
        <v>30.438233</v>
      </c>
      <c r="J489" s="14">
        <f t="shared" si="83"/>
        <v>20.586545000000001</v>
      </c>
      <c r="K489" s="14"/>
    </row>
    <row r="490" spans="1:11" ht="15.75" customHeight="1" x14ac:dyDescent="0.25">
      <c r="A490" s="9"/>
      <c r="B490" s="9"/>
      <c r="C490" s="10"/>
      <c r="D490" s="16"/>
      <c r="E490" s="17"/>
      <c r="F490" s="14">
        <f>E489*F489</f>
        <v>464.92999999999995</v>
      </c>
      <c r="G490" s="14">
        <f>E489*G489</f>
        <v>314.45</v>
      </c>
      <c r="H490" s="14">
        <f>SUM(F490,G490)</f>
        <v>779.37999999999988</v>
      </c>
      <c r="I490" s="13">
        <f t="shared" si="82"/>
        <v>578.32642699999997</v>
      </c>
      <c r="J490" s="14">
        <f t="shared" si="83"/>
        <v>391.14435499999996</v>
      </c>
      <c r="K490" s="14">
        <f t="shared" ref="K490" si="89">J490+I490</f>
        <v>969.47078199999987</v>
      </c>
    </row>
    <row r="491" spans="1:11" ht="15.75" customHeight="1" x14ac:dyDescent="0.25">
      <c r="A491" s="9" t="s">
        <v>839</v>
      </c>
      <c r="B491" s="9" t="s">
        <v>544</v>
      </c>
      <c r="C491" s="10" t="s">
        <v>545</v>
      </c>
      <c r="D491" s="16" t="s">
        <v>47</v>
      </c>
      <c r="E491" s="17">
        <v>6</v>
      </c>
      <c r="F491" s="14">
        <v>28.52</v>
      </c>
      <c r="G491" s="14">
        <v>19.07</v>
      </c>
      <c r="H491" s="14"/>
      <c r="I491" s="13">
        <f t="shared" si="82"/>
        <v>35.476027999999999</v>
      </c>
      <c r="J491" s="14">
        <f t="shared" si="83"/>
        <v>23.721173</v>
      </c>
      <c r="K491" s="14"/>
    </row>
    <row r="492" spans="1:11" ht="15.75" customHeight="1" x14ac:dyDescent="0.25">
      <c r="A492" s="9"/>
      <c r="B492" s="9"/>
      <c r="C492" s="10"/>
      <c r="D492" s="16"/>
      <c r="E492" s="17"/>
      <c r="F492" s="14">
        <f>E491*F491</f>
        <v>171.12</v>
      </c>
      <c r="G492" s="14">
        <f>E491*G491</f>
        <v>114.42</v>
      </c>
      <c r="H492" s="14">
        <f>SUM(F492,G492)</f>
        <v>285.54000000000002</v>
      </c>
      <c r="I492" s="13">
        <f t="shared" si="82"/>
        <v>212.856168</v>
      </c>
      <c r="J492" s="14">
        <f t="shared" si="83"/>
        <v>142.32703800000002</v>
      </c>
      <c r="K492" s="14">
        <f t="shared" ref="K492" si="90">J492+I492</f>
        <v>355.18320600000004</v>
      </c>
    </row>
    <row r="493" spans="1:11" ht="15.75" customHeight="1" x14ac:dyDescent="0.25">
      <c r="A493" s="9" t="s">
        <v>840</v>
      </c>
      <c r="B493" s="9" t="s">
        <v>546</v>
      </c>
      <c r="C493" s="10" t="s">
        <v>547</v>
      </c>
      <c r="D493" s="16" t="s">
        <v>47</v>
      </c>
      <c r="E493" s="17">
        <v>2</v>
      </c>
      <c r="F493" s="14">
        <v>39.96</v>
      </c>
      <c r="G493" s="14">
        <v>26.57</v>
      </c>
      <c r="H493" s="14"/>
      <c r="I493" s="13">
        <f t="shared" si="82"/>
        <v>49.706243999999998</v>
      </c>
      <c r="J493" s="14">
        <f t="shared" si="83"/>
        <v>33.050423000000002</v>
      </c>
      <c r="K493" s="14"/>
    </row>
    <row r="494" spans="1:11" ht="15.75" customHeight="1" x14ac:dyDescent="0.25">
      <c r="A494" s="9"/>
      <c r="B494" s="9"/>
      <c r="C494" s="10"/>
      <c r="D494" s="16"/>
      <c r="E494" s="17"/>
      <c r="F494" s="14">
        <f>E493*F493</f>
        <v>79.92</v>
      </c>
      <c r="G494" s="14">
        <f>E493*G493</f>
        <v>53.14</v>
      </c>
      <c r="H494" s="14">
        <f>SUM(F494,G494)</f>
        <v>133.06</v>
      </c>
      <c r="I494" s="13">
        <f t="shared" si="82"/>
        <v>99.412487999999996</v>
      </c>
      <c r="J494" s="14">
        <f t="shared" si="83"/>
        <v>66.100846000000004</v>
      </c>
      <c r="K494" s="14">
        <f t="shared" ref="K494" si="91">J494+I494</f>
        <v>165.51333399999999</v>
      </c>
    </row>
    <row r="495" spans="1:11" ht="15.75" customHeight="1" x14ac:dyDescent="0.25">
      <c r="A495" s="9" t="s">
        <v>841</v>
      </c>
      <c r="B495" s="9" t="s">
        <v>546</v>
      </c>
      <c r="C495" s="10" t="s">
        <v>548</v>
      </c>
      <c r="D495" s="16" t="s">
        <v>47</v>
      </c>
      <c r="E495" s="17">
        <v>31</v>
      </c>
      <c r="F495" s="14">
        <v>39.96</v>
      </c>
      <c r="G495" s="14">
        <v>26.57</v>
      </c>
      <c r="H495" s="14"/>
      <c r="I495" s="13">
        <f t="shared" si="82"/>
        <v>49.706243999999998</v>
      </c>
      <c r="J495" s="14">
        <f t="shared" si="83"/>
        <v>33.050423000000002</v>
      </c>
      <c r="K495" s="14"/>
    </row>
    <row r="496" spans="1:11" ht="15.75" customHeight="1" x14ac:dyDescent="0.25">
      <c r="A496" s="9"/>
      <c r="B496" s="9"/>
      <c r="C496" s="10"/>
      <c r="D496" s="16"/>
      <c r="E496" s="17"/>
      <c r="F496" s="14">
        <f>E495*F495</f>
        <v>1238.76</v>
      </c>
      <c r="G496" s="14">
        <f>E495*G495</f>
        <v>823.67</v>
      </c>
      <c r="H496" s="14">
        <f>SUM(F496,G496)</f>
        <v>2062.4299999999998</v>
      </c>
      <c r="I496" s="13">
        <f t="shared" si="82"/>
        <v>1540.893564</v>
      </c>
      <c r="J496" s="14">
        <f t="shared" si="83"/>
        <v>1024.5631129999999</v>
      </c>
      <c r="K496" s="14">
        <f t="shared" ref="K496" si="92">J496+I496</f>
        <v>2565.4566770000001</v>
      </c>
    </row>
    <row r="497" spans="1:11" ht="15.75" customHeight="1" x14ac:dyDescent="0.25">
      <c r="A497" s="9" t="s">
        <v>842</v>
      </c>
      <c r="B497" s="9" t="s">
        <v>549</v>
      </c>
      <c r="C497" s="10" t="s">
        <v>550</v>
      </c>
      <c r="D497" s="16" t="s">
        <v>47</v>
      </c>
      <c r="E497" s="17">
        <v>3</v>
      </c>
      <c r="F497" s="14">
        <v>33.409999999999997</v>
      </c>
      <c r="G497" s="14">
        <v>16.100000000000001</v>
      </c>
      <c r="H497" s="14"/>
      <c r="I497" s="13">
        <f t="shared" si="82"/>
        <v>41.558698999999997</v>
      </c>
      <c r="J497" s="14">
        <f t="shared" si="83"/>
        <v>20.026790000000002</v>
      </c>
      <c r="K497" s="14"/>
    </row>
    <row r="498" spans="1:11" ht="15.75" customHeight="1" x14ac:dyDescent="0.25">
      <c r="A498" s="9"/>
      <c r="B498" s="9"/>
      <c r="C498" s="10"/>
      <c r="D498" s="16"/>
      <c r="E498" s="17"/>
      <c r="F498" s="14">
        <f>E497*F497</f>
        <v>100.22999999999999</v>
      </c>
      <c r="G498" s="14">
        <f>E497*G497</f>
        <v>48.300000000000004</v>
      </c>
      <c r="H498" s="14">
        <f>SUM(F498,G498)</f>
        <v>148.53</v>
      </c>
      <c r="I498" s="13">
        <f t="shared" si="82"/>
        <v>124.67609699999998</v>
      </c>
      <c r="J498" s="14">
        <f t="shared" si="83"/>
        <v>60.080370000000002</v>
      </c>
      <c r="K498" s="14">
        <f t="shared" ref="K498" si="93">J498+I498</f>
        <v>184.75646699999999</v>
      </c>
    </row>
    <row r="499" spans="1:11" ht="15.75" customHeight="1" x14ac:dyDescent="0.25">
      <c r="A499" s="9" t="s">
        <v>843</v>
      </c>
      <c r="B499" s="9" t="s">
        <v>542</v>
      </c>
      <c r="C499" s="10" t="s">
        <v>551</v>
      </c>
      <c r="D499" s="16" t="s">
        <v>47</v>
      </c>
      <c r="E499" s="17">
        <v>2</v>
      </c>
      <c r="F499" s="14">
        <v>24.47</v>
      </c>
      <c r="G499" s="18">
        <v>16.55</v>
      </c>
      <c r="H499" s="14"/>
      <c r="I499" s="13">
        <f t="shared" si="82"/>
        <v>30.438233</v>
      </c>
      <c r="J499" s="14">
        <f t="shared" si="83"/>
        <v>20.586545000000001</v>
      </c>
      <c r="K499" s="14"/>
    </row>
    <row r="500" spans="1:11" ht="15.75" customHeight="1" x14ac:dyDescent="0.25">
      <c r="A500" s="9"/>
      <c r="B500" s="9"/>
      <c r="C500" s="10"/>
      <c r="D500" s="16"/>
      <c r="E500" s="17"/>
      <c r="F500" s="14">
        <f>E499*F499</f>
        <v>48.94</v>
      </c>
      <c r="G500" s="14">
        <f>E499*G499</f>
        <v>33.1</v>
      </c>
      <c r="H500" s="14">
        <f>SUM(F500,G500)</f>
        <v>82.039999999999992</v>
      </c>
      <c r="I500" s="13">
        <f t="shared" si="82"/>
        <v>60.876466000000001</v>
      </c>
      <c r="J500" s="14">
        <f t="shared" si="83"/>
        <v>41.173090000000002</v>
      </c>
      <c r="K500" s="14">
        <f t="shared" ref="K500" si="94">J500+I500</f>
        <v>102.049556</v>
      </c>
    </row>
    <row r="501" spans="1:11" ht="15.75" customHeight="1" x14ac:dyDescent="0.25">
      <c r="A501" s="9" t="s">
        <v>844</v>
      </c>
      <c r="B501" s="9" t="s">
        <v>552</v>
      </c>
      <c r="C501" s="10" t="s">
        <v>553</v>
      </c>
      <c r="D501" s="16" t="s">
        <v>47</v>
      </c>
      <c r="E501" s="17">
        <v>82</v>
      </c>
      <c r="F501" s="14">
        <v>57.94</v>
      </c>
      <c r="G501" s="14">
        <v>12.73</v>
      </c>
      <c r="H501" s="14"/>
      <c r="I501" s="13">
        <f t="shared" si="82"/>
        <v>72.071566000000004</v>
      </c>
      <c r="J501" s="14">
        <f t="shared" si="83"/>
        <v>15.834847</v>
      </c>
      <c r="K501" s="14"/>
    </row>
    <row r="502" spans="1:11" ht="15.75" customHeight="1" x14ac:dyDescent="0.25">
      <c r="A502" s="9"/>
      <c r="B502" s="9"/>
      <c r="C502" s="10"/>
      <c r="D502" s="16"/>
      <c r="E502" s="17"/>
      <c r="F502" s="14">
        <f>E501*F501</f>
        <v>4751.08</v>
      </c>
      <c r="G502" s="14">
        <f>E501*G501</f>
        <v>1043.8600000000001</v>
      </c>
      <c r="H502" s="14">
        <f>SUM(F502,G502)</f>
        <v>5794.9400000000005</v>
      </c>
      <c r="I502" s="13">
        <f t="shared" si="82"/>
        <v>5909.8684119999998</v>
      </c>
      <c r="J502" s="14">
        <f t="shared" si="83"/>
        <v>1298.4574540000001</v>
      </c>
      <c r="K502" s="14">
        <f t="shared" ref="K502" si="95">J502+I502</f>
        <v>7208.3258660000001</v>
      </c>
    </row>
    <row r="503" spans="1:11" ht="15.75" customHeight="1" x14ac:dyDescent="0.25">
      <c r="A503" s="9" t="s">
        <v>845</v>
      </c>
      <c r="B503" s="41" t="s">
        <v>48</v>
      </c>
      <c r="C503" s="42" t="s">
        <v>554</v>
      </c>
      <c r="D503" s="43" t="s">
        <v>47</v>
      </c>
      <c r="E503" s="44">
        <v>15</v>
      </c>
      <c r="F503" s="45">
        <v>4.09</v>
      </c>
      <c r="G503" s="45">
        <v>1.02</v>
      </c>
      <c r="H503" s="46"/>
      <c r="I503" s="13">
        <f t="shared" si="82"/>
        <v>5.0875509999999995</v>
      </c>
      <c r="J503" s="14">
        <f t="shared" si="83"/>
        <v>1.268778</v>
      </c>
      <c r="K503" s="14"/>
    </row>
    <row r="504" spans="1:11" ht="15.75" customHeight="1" x14ac:dyDescent="0.25">
      <c r="A504" s="9"/>
      <c r="B504" s="9"/>
      <c r="C504" s="10"/>
      <c r="D504" s="16"/>
      <c r="E504" s="17"/>
      <c r="F504" s="14">
        <f>E503*F503</f>
        <v>61.349999999999994</v>
      </c>
      <c r="G504" s="14">
        <f>E503*G503</f>
        <v>15.3</v>
      </c>
      <c r="H504" s="14">
        <f>SUM(F504,G504)</f>
        <v>76.649999999999991</v>
      </c>
      <c r="I504" s="13">
        <f t="shared" si="82"/>
        <v>76.313264999999987</v>
      </c>
      <c r="J504" s="14">
        <f t="shared" si="83"/>
        <v>19.031670000000002</v>
      </c>
      <c r="K504" s="14">
        <f t="shared" ref="K504" si="96">J504+I504</f>
        <v>95.344934999999992</v>
      </c>
    </row>
    <row r="505" spans="1:11" ht="15.75" customHeight="1" x14ac:dyDescent="0.25">
      <c r="A505" s="9" t="s">
        <v>846</v>
      </c>
      <c r="B505" s="9" t="s">
        <v>555</v>
      </c>
      <c r="C505" s="10" t="s">
        <v>556</v>
      </c>
      <c r="D505" s="16" t="s">
        <v>47</v>
      </c>
      <c r="E505" s="17">
        <v>166</v>
      </c>
      <c r="F505" s="14">
        <v>147.34</v>
      </c>
      <c r="G505" s="14">
        <v>41.3</v>
      </c>
      <c r="H505" s="14"/>
      <c r="I505" s="13">
        <f t="shared" si="82"/>
        <v>183.27622600000001</v>
      </c>
      <c r="J505" s="14">
        <f t="shared" si="83"/>
        <v>51.373069999999998</v>
      </c>
      <c r="K505" s="14"/>
    </row>
    <row r="506" spans="1:11" ht="15.75" customHeight="1" x14ac:dyDescent="0.25">
      <c r="A506" s="9"/>
      <c r="B506" s="9"/>
      <c r="C506" s="10"/>
      <c r="D506" s="16"/>
      <c r="E506" s="17"/>
      <c r="F506" s="14">
        <f>E505*F505</f>
        <v>24458.440000000002</v>
      </c>
      <c r="G506" s="14">
        <f>E505*G505</f>
        <v>6855.7999999999993</v>
      </c>
      <c r="H506" s="14">
        <f>SUM(F506,G506)</f>
        <v>31314.240000000002</v>
      </c>
      <c r="I506" s="13">
        <f t="shared" si="82"/>
        <v>30423.853516000003</v>
      </c>
      <c r="J506" s="14">
        <f t="shared" si="83"/>
        <v>8527.929619999999</v>
      </c>
      <c r="K506" s="14">
        <f t="shared" ref="K506" si="97">J506+I506</f>
        <v>38951.783135999998</v>
      </c>
    </row>
    <row r="507" spans="1:11" ht="15.75" customHeight="1" x14ac:dyDescent="0.25">
      <c r="A507" s="9" t="s">
        <v>847</v>
      </c>
      <c r="B507" s="41" t="s">
        <v>48</v>
      </c>
      <c r="C507" s="42" t="s">
        <v>557</v>
      </c>
      <c r="D507" s="43" t="s">
        <v>47</v>
      </c>
      <c r="E507" s="44">
        <v>8</v>
      </c>
      <c r="F507" s="45">
        <v>55.72</v>
      </c>
      <c r="G507" s="45">
        <v>13.93</v>
      </c>
      <c r="H507" s="46"/>
      <c r="I507" s="13">
        <f t="shared" si="82"/>
        <v>69.310108</v>
      </c>
      <c r="J507" s="14">
        <f t="shared" si="83"/>
        <v>17.327527</v>
      </c>
      <c r="K507" s="14"/>
    </row>
    <row r="508" spans="1:11" ht="15.75" customHeight="1" x14ac:dyDescent="0.25">
      <c r="A508" s="9"/>
      <c r="B508" s="9"/>
      <c r="C508" s="10"/>
      <c r="D508" s="16"/>
      <c r="E508" s="17"/>
      <c r="F508" s="14">
        <f>E507*F507</f>
        <v>445.76</v>
      </c>
      <c r="G508" s="14">
        <f>E507*G507</f>
        <v>111.44</v>
      </c>
      <c r="H508" s="14">
        <f>SUM(F508,G508)</f>
        <v>557.20000000000005</v>
      </c>
      <c r="I508" s="13">
        <f t="shared" si="82"/>
        <v>554.480864</v>
      </c>
      <c r="J508" s="14">
        <f t="shared" si="83"/>
        <v>138.620216</v>
      </c>
      <c r="K508" s="14">
        <f t="shared" ref="K508" si="98">J508+I508</f>
        <v>693.10108000000002</v>
      </c>
    </row>
    <row r="509" spans="1:11" ht="15.75" customHeight="1" x14ac:dyDescent="0.25">
      <c r="A509" s="9" t="s">
        <v>848</v>
      </c>
      <c r="B509" s="41" t="s">
        <v>48</v>
      </c>
      <c r="C509" s="42" t="s">
        <v>558</v>
      </c>
      <c r="D509" s="43" t="s">
        <v>47</v>
      </c>
      <c r="E509" s="44">
        <v>4</v>
      </c>
      <c r="F509" s="45">
        <v>361.53</v>
      </c>
      <c r="G509" s="48">
        <v>90.39</v>
      </c>
      <c r="H509" s="46"/>
      <c r="I509" s="13">
        <f t="shared" si="82"/>
        <v>449.70716699999997</v>
      </c>
      <c r="J509" s="14">
        <f t="shared" si="83"/>
        <v>112.436121</v>
      </c>
      <c r="K509" s="14"/>
    </row>
    <row r="510" spans="1:11" ht="15.75" customHeight="1" x14ac:dyDescent="0.25">
      <c r="A510" s="9"/>
      <c r="B510" s="9"/>
      <c r="C510" s="10"/>
      <c r="D510" s="16"/>
      <c r="E510" s="17"/>
      <c r="F510" s="14">
        <f>E509*F509</f>
        <v>1446.12</v>
      </c>
      <c r="G510" s="14">
        <f>E509*G509</f>
        <v>361.56</v>
      </c>
      <c r="H510" s="14">
        <f>SUM(F510,G510)</f>
        <v>1807.6799999999998</v>
      </c>
      <c r="I510" s="13">
        <f t="shared" si="82"/>
        <v>1798.8286679999999</v>
      </c>
      <c r="J510" s="14">
        <f t="shared" si="83"/>
        <v>449.744484</v>
      </c>
      <c r="K510" s="14">
        <f t="shared" ref="K510" si="99">J510+I510</f>
        <v>2248.5731519999999</v>
      </c>
    </row>
    <row r="511" spans="1:11" ht="15.75" customHeight="1" x14ac:dyDescent="0.25">
      <c r="A511" s="9" t="s">
        <v>849</v>
      </c>
      <c r="B511" s="9" t="s">
        <v>552</v>
      </c>
      <c r="C511" s="10" t="s">
        <v>559</v>
      </c>
      <c r="D511" s="16" t="s">
        <v>47</v>
      </c>
      <c r="E511" s="17">
        <v>22</v>
      </c>
      <c r="F511" s="14">
        <v>57.94</v>
      </c>
      <c r="G511" s="14">
        <v>12.73</v>
      </c>
      <c r="H511" s="14"/>
      <c r="I511" s="13">
        <f t="shared" si="82"/>
        <v>72.071566000000004</v>
      </c>
      <c r="J511" s="14">
        <f t="shared" si="83"/>
        <v>15.834847</v>
      </c>
      <c r="K511" s="14"/>
    </row>
    <row r="512" spans="1:11" ht="15.75" customHeight="1" x14ac:dyDescent="0.25">
      <c r="A512" s="9"/>
      <c r="B512" s="9"/>
      <c r="C512" s="10"/>
      <c r="D512" s="16"/>
      <c r="E512" s="17"/>
      <c r="F512" s="14">
        <f>E511*F511</f>
        <v>1274.6799999999998</v>
      </c>
      <c r="G512" s="14">
        <f>E511*G511</f>
        <v>280.06</v>
      </c>
      <c r="H512" s="14">
        <f>SUM(F512,G512)</f>
        <v>1554.7399999999998</v>
      </c>
      <c r="I512" s="13">
        <f t="shared" si="82"/>
        <v>1585.5744519999998</v>
      </c>
      <c r="J512" s="14">
        <f t="shared" si="83"/>
        <v>348.36663399999998</v>
      </c>
      <c r="K512" s="14">
        <f t="shared" ref="K512" si="100">J512+I512</f>
        <v>1933.9410859999998</v>
      </c>
    </row>
    <row r="513" spans="1:11" ht="15.75" customHeight="1" x14ac:dyDescent="0.25">
      <c r="A513" s="9" t="s">
        <v>850</v>
      </c>
      <c r="B513" s="41" t="s">
        <v>48</v>
      </c>
      <c r="C513" s="42" t="s">
        <v>561</v>
      </c>
      <c r="D513" s="43" t="s">
        <v>47</v>
      </c>
      <c r="E513" s="44">
        <v>4</v>
      </c>
      <c r="F513" s="45">
        <v>180.57</v>
      </c>
      <c r="G513" s="45">
        <v>45.14</v>
      </c>
      <c r="H513" s="46"/>
      <c r="I513" s="13">
        <f t="shared" si="82"/>
        <v>224.61102299999999</v>
      </c>
      <c r="J513" s="14">
        <f t="shared" si="83"/>
        <v>56.149646000000004</v>
      </c>
      <c r="K513" s="14"/>
    </row>
    <row r="514" spans="1:11" ht="15.75" customHeight="1" x14ac:dyDescent="0.25">
      <c r="A514" s="9"/>
      <c r="B514" s="9"/>
      <c r="C514" s="10"/>
      <c r="D514" s="16"/>
      <c r="E514" s="17"/>
      <c r="F514" s="14">
        <f>E513*F513</f>
        <v>722.28</v>
      </c>
      <c r="G514" s="14">
        <f>E513*G513</f>
        <v>180.56</v>
      </c>
      <c r="H514" s="14">
        <f>SUM(F514,G514)</f>
        <v>902.83999999999992</v>
      </c>
      <c r="I514" s="13">
        <f t="shared" si="82"/>
        <v>898.44409199999996</v>
      </c>
      <c r="J514" s="14">
        <f t="shared" si="83"/>
        <v>224.59858400000002</v>
      </c>
      <c r="K514" s="14">
        <f t="shared" ref="K514" si="101">J514+I514</f>
        <v>1123.042676</v>
      </c>
    </row>
    <row r="515" spans="1:11" ht="15.75" customHeight="1" x14ac:dyDescent="0.25">
      <c r="A515" s="9" t="s">
        <v>851</v>
      </c>
      <c r="B515" s="9" t="s">
        <v>563</v>
      </c>
      <c r="C515" s="10" t="s">
        <v>564</v>
      </c>
      <c r="D515" s="16" t="s">
        <v>47</v>
      </c>
      <c r="E515" s="17">
        <v>40</v>
      </c>
      <c r="F515" s="14">
        <f>38.14+1062.91+0.31</f>
        <v>1101.3600000000001</v>
      </c>
      <c r="G515" s="14">
        <v>126.32</v>
      </c>
      <c r="H515" s="14"/>
      <c r="I515" s="13">
        <f t="shared" si="82"/>
        <v>1369.9817040000003</v>
      </c>
      <c r="J515" s="14">
        <f t="shared" si="83"/>
        <v>157.129448</v>
      </c>
      <c r="K515" s="14"/>
    </row>
    <row r="516" spans="1:11" ht="15.75" customHeight="1" x14ac:dyDescent="0.25">
      <c r="A516" s="9"/>
      <c r="B516" s="9"/>
      <c r="C516" s="10"/>
      <c r="D516" s="16"/>
      <c r="E516" s="17"/>
      <c r="F516" s="14">
        <f>E515*F515</f>
        <v>44054.400000000009</v>
      </c>
      <c r="G516" s="14">
        <f>E515*G515</f>
        <v>5052.7999999999993</v>
      </c>
      <c r="H516" s="14">
        <f>SUM(F516,G516)</f>
        <v>49107.200000000012</v>
      </c>
      <c r="I516" s="13">
        <f t="shared" si="82"/>
        <v>54799.268160000014</v>
      </c>
      <c r="J516" s="14">
        <f t="shared" si="83"/>
        <v>6285.1779199999992</v>
      </c>
      <c r="K516" s="14">
        <f t="shared" ref="K516" si="102">J516+I516</f>
        <v>61084.446080000016</v>
      </c>
    </row>
    <row r="517" spans="1:11" ht="15.75" customHeight="1" x14ac:dyDescent="0.25">
      <c r="A517" s="9" t="s">
        <v>852</v>
      </c>
      <c r="B517" s="9" t="s">
        <v>566</v>
      </c>
      <c r="C517" s="10" t="s">
        <v>567</v>
      </c>
      <c r="D517" s="16" t="s">
        <v>47</v>
      </c>
      <c r="E517" s="17">
        <v>110</v>
      </c>
      <c r="F517" s="14">
        <v>18.809999999999999</v>
      </c>
      <c r="G517" s="14">
        <v>7.6</v>
      </c>
      <c r="H517" s="14"/>
      <c r="I517" s="13">
        <f t="shared" si="82"/>
        <v>23.397758999999997</v>
      </c>
      <c r="J517" s="14">
        <f t="shared" si="83"/>
        <v>9.45364</v>
      </c>
      <c r="K517" s="14"/>
    </row>
    <row r="518" spans="1:11" ht="15.75" customHeight="1" x14ac:dyDescent="0.25">
      <c r="A518" s="9"/>
      <c r="B518" s="9"/>
      <c r="C518" s="10"/>
      <c r="D518" s="16"/>
      <c r="E518" s="17"/>
      <c r="F518" s="14">
        <f>E517*F517</f>
        <v>2069.1</v>
      </c>
      <c r="G518" s="14">
        <f>E517*G517</f>
        <v>836</v>
      </c>
      <c r="H518" s="14">
        <f>SUM(F518,G518)</f>
        <v>2905.1</v>
      </c>
      <c r="I518" s="13">
        <f t="shared" si="82"/>
        <v>2573.7534900000001</v>
      </c>
      <c r="J518" s="14">
        <f t="shared" si="83"/>
        <v>1039.9004</v>
      </c>
      <c r="K518" s="14">
        <f t="shared" ref="K518" si="103">J518+I518</f>
        <v>3613.65389</v>
      </c>
    </row>
    <row r="519" spans="1:11" ht="15.75" customHeight="1" x14ac:dyDescent="0.25">
      <c r="A519" s="9"/>
      <c r="B519" s="9"/>
      <c r="C519" s="10"/>
      <c r="D519" s="16"/>
      <c r="E519" s="17"/>
      <c r="F519" s="14"/>
      <c r="G519" s="14"/>
      <c r="H519" s="14"/>
      <c r="I519" s="14"/>
      <c r="J519" s="14"/>
      <c r="K519" s="14"/>
    </row>
    <row r="520" spans="1:11" ht="15.75" customHeight="1" x14ac:dyDescent="0.25">
      <c r="A520" s="9"/>
      <c r="B520" s="9"/>
      <c r="C520" s="21" t="s">
        <v>569</v>
      </c>
      <c r="D520" s="16"/>
      <c r="E520" s="17"/>
      <c r="F520" s="14">
        <f t="shared" ref="F520:J520" si="104">F518+F516+F514+F512+F510+F508+F506+F504+F502+F500+F498+F496+F494+F492+F490+F486+F488+F484+F482+F480+F478+F476+F474+F472+F470+F468+F466+F464+F462+F460+F458+F456+F454+F452+F450+F448+F446+F444+F442+F440+F438+F436+F434+F432+F430+F428+F426+F424+F422+F420+F418+F416+F414+F412+F410</f>
        <v>162406.17889999994</v>
      </c>
      <c r="G520" s="14">
        <f t="shared" si="104"/>
        <v>59950.106300000007</v>
      </c>
      <c r="H520" s="14">
        <f>SUM(F520,G520)</f>
        <v>222356.28519999995</v>
      </c>
      <c r="I520" s="14">
        <f t="shared" si="104"/>
        <v>202017.04593371003</v>
      </c>
      <c r="J520" s="14">
        <f t="shared" si="104"/>
        <v>74571.937226570022</v>
      </c>
      <c r="K520" s="14">
        <f>SUM(I520,J520)</f>
        <v>276588.98316028004</v>
      </c>
    </row>
    <row r="521" spans="1:11" ht="15.75" customHeight="1" x14ac:dyDescent="0.25">
      <c r="A521" s="9"/>
      <c r="B521" s="9"/>
      <c r="C521" s="10"/>
      <c r="D521" s="16"/>
      <c r="E521" s="17"/>
      <c r="F521" s="14"/>
      <c r="G521" s="14"/>
      <c r="H521" s="14"/>
      <c r="I521" s="14"/>
      <c r="J521" s="14"/>
      <c r="K521" s="14"/>
    </row>
    <row r="522" spans="1:11" ht="15.75" customHeight="1" x14ac:dyDescent="0.25">
      <c r="A522" s="49" t="s">
        <v>463</v>
      </c>
      <c r="B522" s="49"/>
      <c r="C522" s="4" t="s">
        <v>572</v>
      </c>
      <c r="D522" s="24"/>
      <c r="E522" s="22"/>
      <c r="F522" s="8"/>
      <c r="G522" s="8"/>
      <c r="H522" s="8"/>
      <c r="I522" s="8"/>
      <c r="J522" s="8"/>
      <c r="K522" s="8"/>
    </row>
    <row r="523" spans="1:11" ht="15.75" customHeight="1" x14ac:dyDescent="0.25">
      <c r="A523" s="9" t="s">
        <v>465</v>
      </c>
      <c r="B523" s="9" t="s">
        <v>574</v>
      </c>
      <c r="C523" s="10" t="s">
        <v>575</v>
      </c>
      <c r="D523" s="16" t="s">
        <v>24</v>
      </c>
      <c r="E523" s="17">
        <v>3</v>
      </c>
      <c r="F523" s="14">
        <v>96.37</v>
      </c>
      <c r="G523" s="14">
        <v>3.82</v>
      </c>
      <c r="H523" s="14"/>
      <c r="I523" s="13">
        <f t="shared" ref="I523:I528" si="105">F523*1.2439</f>
        <v>119.87464300000001</v>
      </c>
      <c r="J523" s="14">
        <f t="shared" ref="J523:J528" si="106">G523*1.2439</f>
        <v>4.7516980000000002</v>
      </c>
      <c r="K523" s="14"/>
    </row>
    <row r="524" spans="1:11" ht="15.75" customHeight="1" x14ac:dyDescent="0.25">
      <c r="A524" s="9"/>
      <c r="B524" s="9"/>
      <c r="C524" s="10"/>
      <c r="D524" s="16"/>
      <c r="E524" s="17"/>
      <c r="F524" s="14">
        <f>E523*F523</f>
        <v>289.11</v>
      </c>
      <c r="G524" s="14">
        <f>E523*G523</f>
        <v>11.459999999999999</v>
      </c>
      <c r="H524" s="14">
        <f>SUM(F524,G524)</f>
        <v>300.57</v>
      </c>
      <c r="I524" s="13">
        <f t="shared" si="105"/>
        <v>359.62392900000003</v>
      </c>
      <c r="J524" s="14">
        <f t="shared" si="106"/>
        <v>14.255094</v>
      </c>
      <c r="K524" s="14">
        <f t="shared" ref="K524" si="107">J524+I524</f>
        <v>373.87902300000002</v>
      </c>
    </row>
    <row r="525" spans="1:11" ht="15.75" customHeight="1" x14ac:dyDescent="0.25">
      <c r="A525" s="41" t="s">
        <v>468</v>
      </c>
      <c r="B525" s="41" t="s">
        <v>48</v>
      </c>
      <c r="C525" s="42" t="s">
        <v>578</v>
      </c>
      <c r="D525" s="43" t="s">
        <v>24</v>
      </c>
      <c r="E525" s="44">
        <v>40</v>
      </c>
      <c r="F525" s="45">
        <v>4.9800000000000004</v>
      </c>
      <c r="G525" s="45">
        <v>1.25</v>
      </c>
      <c r="H525" s="46"/>
      <c r="I525" s="13">
        <f t="shared" si="105"/>
        <v>6.1946220000000007</v>
      </c>
      <c r="J525" s="14">
        <f t="shared" si="106"/>
        <v>1.554875</v>
      </c>
      <c r="K525" s="14"/>
    </row>
    <row r="526" spans="1:11" ht="15.75" customHeight="1" x14ac:dyDescent="0.25">
      <c r="A526" s="9"/>
      <c r="B526" s="9"/>
      <c r="C526" s="10"/>
      <c r="D526" s="16"/>
      <c r="E526" s="17"/>
      <c r="F526" s="14">
        <f>E525*F525</f>
        <v>199.20000000000002</v>
      </c>
      <c r="G526" s="14">
        <f>E525*G525</f>
        <v>50</v>
      </c>
      <c r="H526" s="14">
        <f>SUM(F526,G526)</f>
        <v>249.20000000000002</v>
      </c>
      <c r="I526" s="13">
        <f t="shared" si="105"/>
        <v>247.78488000000002</v>
      </c>
      <c r="J526" s="14">
        <f t="shared" si="106"/>
        <v>62.195</v>
      </c>
      <c r="K526" s="14">
        <f t="shared" ref="K526" si="108">J526+I526</f>
        <v>309.97988000000004</v>
      </c>
    </row>
    <row r="527" spans="1:11" ht="15.75" customHeight="1" x14ac:dyDescent="0.25">
      <c r="A527" s="9" t="s">
        <v>470</v>
      </c>
      <c r="B527" s="9" t="s">
        <v>581</v>
      </c>
      <c r="C527" s="10" t="s">
        <v>582</v>
      </c>
      <c r="D527" s="16" t="s">
        <v>47</v>
      </c>
      <c r="E527" s="17">
        <v>40</v>
      </c>
      <c r="F527" s="14">
        <v>9.9600000000000009</v>
      </c>
      <c r="G527" s="14">
        <v>15.31</v>
      </c>
      <c r="H527" s="14"/>
      <c r="I527" s="13">
        <f t="shared" si="105"/>
        <v>12.389244000000001</v>
      </c>
      <c r="J527" s="14">
        <f t="shared" si="106"/>
        <v>19.044109000000002</v>
      </c>
      <c r="K527" s="14"/>
    </row>
    <row r="528" spans="1:11" ht="15.75" customHeight="1" x14ac:dyDescent="0.25">
      <c r="A528" s="9"/>
      <c r="B528" s="9"/>
      <c r="C528" s="10"/>
      <c r="D528" s="16"/>
      <c r="E528" s="17"/>
      <c r="F528" s="14">
        <f>E527*F527</f>
        <v>398.40000000000003</v>
      </c>
      <c r="G528" s="14">
        <f>E527*G527</f>
        <v>612.4</v>
      </c>
      <c r="H528" s="14">
        <f>SUM(F528,G528)</f>
        <v>1010.8</v>
      </c>
      <c r="I528" s="13">
        <f t="shared" si="105"/>
        <v>495.56976000000003</v>
      </c>
      <c r="J528" s="14">
        <f t="shared" si="106"/>
        <v>761.76436000000001</v>
      </c>
      <c r="K528" s="14">
        <f t="shared" ref="K528" si="109">J528+I528</f>
        <v>1257.33412</v>
      </c>
    </row>
    <row r="529" spans="1:11" ht="15.75" customHeight="1" x14ac:dyDescent="0.25">
      <c r="A529" s="41" t="s">
        <v>472</v>
      </c>
      <c r="B529" s="41" t="s">
        <v>48</v>
      </c>
      <c r="C529" s="42" t="s">
        <v>584</v>
      </c>
      <c r="D529" s="43" t="s">
        <v>47</v>
      </c>
      <c r="E529" s="44">
        <v>1</v>
      </c>
      <c r="F529" s="45">
        <v>326.91000000000003</v>
      </c>
      <c r="G529" s="45">
        <v>81.73</v>
      </c>
      <c r="H529" s="46"/>
      <c r="I529" s="13">
        <f t="shared" ref="I529:I540" si="110">F529*1.2439</f>
        <v>406.64334900000006</v>
      </c>
      <c r="J529" s="14">
        <f t="shared" ref="J529:J540" si="111">G529*1.2439</f>
        <v>101.66394700000001</v>
      </c>
      <c r="K529" s="14"/>
    </row>
    <row r="530" spans="1:11" ht="15.75" customHeight="1" x14ac:dyDescent="0.25">
      <c r="A530" s="9"/>
      <c r="B530" s="9"/>
      <c r="C530" s="10"/>
      <c r="D530" s="16"/>
      <c r="E530" s="17"/>
      <c r="F530" s="14">
        <f>E529*F529</f>
        <v>326.91000000000003</v>
      </c>
      <c r="G530" s="14">
        <f>E529*G529</f>
        <v>81.73</v>
      </c>
      <c r="H530" s="14">
        <f>SUM(F530,G530)</f>
        <v>408.64000000000004</v>
      </c>
      <c r="I530" s="13">
        <f t="shared" si="110"/>
        <v>406.64334900000006</v>
      </c>
      <c r="J530" s="14">
        <f t="shared" si="111"/>
        <v>101.66394700000001</v>
      </c>
      <c r="K530" s="14">
        <f t="shared" ref="K530" si="112">J530+I530</f>
        <v>508.30729600000006</v>
      </c>
    </row>
    <row r="531" spans="1:11" ht="15.75" customHeight="1" x14ac:dyDescent="0.25">
      <c r="A531" s="9" t="s">
        <v>474</v>
      </c>
      <c r="B531" s="41" t="s">
        <v>48</v>
      </c>
      <c r="C531" s="42" t="s">
        <v>587</v>
      </c>
      <c r="D531" s="43" t="s">
        <v>47</v>
      </c>
      <c r="E531" s="50">
        <v>51</v>
      </c>
      <c r="F531" s="45">
        <v>45.21</v>
      </c>
      <c r="G531" s="45">
        <v>5</v>
      </c>
      <c r="H531" s="46"/>
      <c r="I531" s="13">
        <f t="shared" si="110"/>
        <v>56.236719000000001</v>
      </c>
      <c r="J531" s="14">
        <f t="shared" si="111"/>
        <v>6.2195</v>
      </c>
      <c r="K531" s="14"/>
    </row>
    <row r="532" spans="1:11" ht="15.75" customHeight="1" x14ac:dyDescent="0.25">
      <c r="A532" s="9"/>
      <c r="B532" s="9"/>
      <c r="C532" s="10"/>
      <c r="D532" s="16"/>
      <c r="E532" s="17"/>
      <c r="F532" s="14">
        <f>E531*F531</f>
        <v>2305.71</v>
      </c>
      <c r="G532" s="14">
        <f>E531*G531</f>
        <v>255</v>
      </c>
      <c r="H532" s="14">
        <f>SUM(F532,G532)</f>
        <v>2560.71</v>
      </c>
      <c r="I532" s="13">
        <f t="shared" si="110"/>
        <v>2868.0726690000001</v>
      </c>
      <c r="J532" s="14">
        <f t="shared" si="111"/>
        <v>317.19450000000001</v>
      </c>
      <c r="K532" s="14">
        <f t="shared" ref="K532" si="113">J532+I532</f>
        <v>3185.2671690000002</v>
      </c>
    </row>
    <row r="533" spans="1:11" ht="15.75" customHeight="1" x14ac:dyDescent="0.25">
      <c r="A533" s="41" t="s">
        <v>476</v>
      </c>
      <c r="B533" s="41" t="s">
        <v>48</v>
      </c>
      <c r="C533" s="42" t="s">
        <v>590</v>
      </c>
      <c r="D533" s="43" t="s">
        <v>24</v>
      </c>
      <c r="E533" s="50">
        <v>1071</v>
      </c>
      <c r="F533" s="45">
        <v>12.45</v>
      </c>
      <c r="G533" s="45">
        <v>3</v>
      </c>
      <c r="H533" s="46"/>
      <c r="I533" s="13">
        <f t="shared" si="110"/>
        <v>15.486554999999999</v>
      </c>
      <c r="J533" s="14">
        <f t="shared" si="111"/>
        <v>3.7317</v>
      </c>
      <c r="K533" s="14"/>
    </row>
    <row r="534" spans="1:11" ht="15.75" customHeight="1" x14ac:dyDescent="0.25">
      <c r="A534" s="9"/>
      <c r="B534" s="9"/>
      <c r="C534" s="10"/>
      <c r="D534" s="16"/>
      <c r="E534" s="17"/>
      <c r="F534" s="14">
        <f>E533*F533</f>
        <v>13333.949999999999</v>
      </c>
      <c r="G534" s="14">
        <f>E533*G533</f>
        <v>3213</v>
      </c>
      <c r="H534" s="14">
        <f>SUM(F534,G534)</f>
        <v>16546.949999999997</v>
      </c>
      <c r="I534" s="13">
        <f t="shared" si="110"/>
        <v>16586.100404999997</v>
      </c>
      <c r="J534" s="14">
        <f t="shared" si="111"/>
        <v>3996.6507000000001</v>
      </c>
      <c r="K534" s="14">
        <f t="shared" ref="K534" si="114">J534+I534</f>
        <v>20582.751104999996</v>
      </c>
    </row>
    <row r="535" spans="1:11" ht="15.75" customHeight="1" x14ac:dyDescent="0.25">
      <c r="A535" s="9" t="s">
        <v>479</v>
      </c>
      <c r="B535" s="41" t="s">
        <v>48</v>
      </c>
      <c r="C535" s="42" t="s">
        <v>592</v>
      </c>
      <c r="D535" s="43" t="s">
        <v>24</v>
      </c>
      <c r="E535" s="50">
        <v>804</v>
      </c>
      <c r="F535" s="45">
        <v>15.3</v>
      </c>
      <c r="G535" s="45">
        <v>4</v>
      </c>
      <c r="H535" s="46"/>
      <c r="I535" s="13">
        <f t="shared" si="110"/>
        <v>19.031670000000002</v>
      </c>
      <c r="J535" s="14">
        <f t="shared" si="111"/>
        <v>4.9756</v>
      </c>
      <c r="K535" s="14"/>
    </row>
    <row r="536" spans="1:11" ht="15.75" customHeight="1" x14ac:dyDescent="0.25">
      <c r="A536" s="9"/>
      <c r="B536" s="9"/>
      <c r="C536" s="10"/>
      <c r="D536" s="16"/>
      <c r="E536" s="17"/>
      <c r="F536" s="14">
        <f>E535*F535</f>
        <v>12301.2</v>
      </c>
      <c r="G536" s="14">
        <f>E535*G535</f>
        <v>3216</v>
      </c>
      <c r="H536" s="14">
        <f>SUM(F536,G536)</f>
        <v>15517.2</v>
      </c>
      <c r="I536" s="13">
        <f t="shared" si="110"/>
        <v>15301.462680000001</v>
      </c>
      <c r="J536" s="14">
        <f t="shared" si="111"/>
        <v>4000.3824</v>
      </c>
      <c r="K536" s="14">
        <f t="shared" ref="K536" si="115">J536+I536</f>
        <v>19301.845079999999</v>
      </c>
    </row>
    <row r="537" spans="1:11" ht="15.75" customHeight="1" x14ac:dyDescent="0.25">
      <c r="A537" s="41" t="s">
        <v>481</v>
      </c>
      <c r="B537" s="9" t="s">
        <v>594</v>
      </c>
      <c r="C537" s="10" t="s">
        <v>595</v>
      </c>
      <c r="D537" s="16" t="s">
        <v>47</v>
      </c>
      <c r="E537" s="17">
        <v>39</v>
      </c>
      <c r="F537" s="14">
        <v>125.56</v>
      </c>
      <c r="G537" s="14">
        <v>65.27</v>
      </c>
      <c r="H537" s="14"/>
      <c r="I537" s="13">
        <f t="shared" si="110"/>
        <v>156.18408400000001</v>
      </c>
      <c r="J537" s="14">
        <f t="shared" si="111"/>
        <v>81.189352999999997</v>
      </c>
      <c r="K537" s="14"/>
    </row>
    <row r="538" spans="1:11" ht="15.75" customHeight="1" x14ac:dyDescent="0.25">
      <c r="A538" s="9"/>
      <c r="B538" s="9"/>
      <c r="C538" s="10"/>
      <c r="D538" s="16"/>
      <c r="E538" s="17"/>
      <c r="F538" s="14">
        <f>E537*F537</f>
        <v>4896.84</v>
      </c>
      <c r="G538" s="14">
        <f>E537*G537</f>
        <v>2545.5299999999997</v>
      </c>
      <c r="H538" s="14">
        <f>SUM(F538,G538)</f>
        <v>7442.37</v>
      </c>
      <c r="I538" s="13">
        <f t="shared" si="110"/>
        <v>6091.1792759999998</v>
      </c>
      <c r="J538" s="14">
        <f t="shared" si="111"/>
        <v>3166.3847669999996</v>
      </c>
      <c r="K538" s="14">
        <f t="shared" ref="K538" si="116">J538+I538</f>
        <v>9257.5640429999985</v>
      </c>
    </row>
    <row r="539" spans="1:11" ht="15.75" customHeight="1" x14ac:dyDescent="0.25">
      <c r="A539" s="9" t="s">
        <v>484</v>
      </c>
      <c r="B539" s="9" t="s">
        <v>596</v>
      </c>
      <c r="C539" s="10" t="s">
        <v>597</v>
      </c>
      <c r="D539" s="16" t="s">
        <v>47</v>
      </c>
      <c r="E539" s="17">
        <v>34</v>
      </c>
      <c r="F539" s="14">
        <v>10.78</v>
      </c>
      <c r="G539" s="14">
        <v>12.18</v>
      </c>
      <c r="H539" s="14"/>
      <c r="I539" s="13">
        <f t="shared" si="110"/>
        <v>13.409241999999999</v>
      </c>
      <c r="J539" s="14">
        <f t="shared" si="111"/>
        <v>15.150701999999999</v>
      </c>
      <c r="K539" s="14"/>
    </row>
    <row r="540" spans="1:11" ht="15.75" customHeight="1" x14ac:dyDescent="0.25">
      <c r="A540" s="9"/>
      <c r="B540" s="9"/>
      <c r="C540" s="10"/>
      <c r="D540" s="16"/>
      <c r="E540" s="17"/>
      <c r="F540" s="14">
        <f>E539*F539</f>
        <v>366.52</v>
      </c>
      <c r="G540" s="14">
        <f>E539*G539</f>
        <v>414.12</v>
      </c>
      <c r="H540" s="14">
        <f>SUM(F540,G540)</f>
        <v>780.64</v>
      </c>
      <c r="I540" s="13">
        <f t="shared" si="110"/>
        <v>455.91422799999998</v>
      </c>
      <c r="J540" s="14">
        <f t="shared" si="111"/>
        <v>515.12386800000002</v>
      </c>
      <c r="K540" s="14">
        <f t="shared" ref="K540" si="117">J540+I540</f>
        <v>971.038096</v>
      </c>
    </row>
    <row r="541" spans="1:11" ht="15.75" customHeight="1" x14ac:dyDescent="0.25">
      <c r="A541" s="9"/>
      <c r="B541" s="9"/>
      <c r="C541" s="10"/>
      <c r="D541" s="16"/>
      <c r="E541" s="17"/>
      <c r="F541" s="14"/>
      <c r="G541" s="14"/>
      <c r="H541" s="14"/>
      <c r="I541" s="14"/>
      <c r="J541" s="14"/>
      <c r="K541" s="14"/>
    </row>
    <row r="542" spans="1:11" ht="15.75" customHeight="1" x14ac:dyDescent="0.25">
      <c r="A542" s="9"/>
      <c r="B542" s="9"/>
      <c r="C542" s="21" t="s">
        <v>598</v>
      </c>
      <c r="D542" s="16"/>
      <c r="E542" s="17"/>
      <c r="F542" s="14">
        <f t="shared" ref="F542:J542" si="118">F540+F538+F536+F534+F532+F530+F528+F526+F524</f>
        <v>34417.840000000004</v>
      </c>
      <c r="G542" s="14">
        <f t="shared" si="118"/>
        <v>10399.239999999998</v>
      </c>
      <c r="H542" s="14">
        <f>SUM(F542,G542)</f>
        <v>44817.08</v>
      </c>
      <c r="I542" s="14">
        <f t="shared" si="118"/>
        <v>42812.351175999996</v>
      </c>
      <c r="J542" s="14">
        <f t="shared" si="118"/>
        <v>12935.614635999997</v>
      </c>
      <c r="K542" s="14">
        <f>SUM(I542,J542)</f>
        <v>55747.965811999995</v>
      </c>
    </row>
    <row r="543" spans="1:11" ht="15.75" customHeight="1" x14ac:dyDescent="0.25">
      <c r="A543" s="9"/>
      <c r="B543" s="9"/>
      <c r="C543" s="10"/>
      <c r="D543" s="16"/>
      <c r="E543" s="17"/>
      <c r="F543" s="14"/>
      <c r="G543" s="14"/>
      <c r="H543" s="14"/>
      <c r="I543" s="14"/>
      <c r="J543" s="14"/>
      <c r="K543" s="14"/>
    </row>
    <row r="544" spans="1:11" ht="15.75" customHeight="1" x14ac:dyDescent="0.25">
      <c r="A544" s="49" t="s">
        <v>571</v>
      </c>
      <c r="B544" s="49"/>
      <c r="C544" s="34" t="s">
        <v>600</v>
      </c>
      <c r="D544" s="24"/>
      <c r="E544" s="22"/>
      <c r="F544" s="8"/>
      <c r="G544" s="8"/>
      <c r="H544" s="8"/>
      <c r="I544" s="8"/>
      <c r="J544" s="8"/>
      <c r="K544" s="8"/>
    </row>
    <row r="545" spans="1:11" ht="15.75" customHeight="1" x14ac:dyDescent="0.25">
      <c r="A545" s="41" t="s">
        <v>573</v>
      </c>
      <c r="B545" s="41" t="s">
        <v>48</v>
      </c>
      <c r="C545" s="42" t="s">
        <v>602</v>
      </c>
      <c r="D545" s="43" t="s">
        <v>47</v>
      </c>
      <c r="E545" s="50">
        <v>1</v>
      </c>
      <c r="F545" s="45">
        <v>3142.47</v>
      </c>
      <c r="G545" s="45">
        <v>530</v>
      </c>
      <c r="H545" s="46"/>
      <c r="I545" s="13">
        <f t="shared" ref="I545:I560" si="119">F545*1.2439</f>
        <v>3908.9184329999998</v>
      </c>
      <c r="J545" s="14">
        <f t="shared" ref="J545:J560" si="120">G545*1.2439</f>
        <v>659.26700000000005</v>
      </c>
      <c r="K545" s="14"/>
    </row>
    <row r="546" spans="1:11" ht="15.75" customHeight="1" x14ac:dyDescent="0.25">
      <c r="A546" s="9"/>
      <c r="B546" s="9"/>
      <c r="C546" s="10"/>
      <c r="D546" s="16"/>
      <c r="E546" s="17"/>
      <c r="F546" s="14">
        <f>E545*F545</f>
        <v>3142.47</v>
      </c>
      <c r="G546" s="14">
        <f>E545*G545</f>
        <v>530</v>
      </c>
      <c r="H546" s="14">
        <f>SUM(F546,G546)</f>
        <v>3672.47</v>
      </c>
      <c r="I546" s="13">
        <f t="shared" si="119"/>
        <v>3908.9184329999998</v>
      </c>
      <c r="J546" s="14">
        <f t="shared" si="120"/>
        <v>659.26700000000005</v>
      </c>
      <c r="K546" s="14">
        <f t="shared" ref="K546" si="121">J546+I546</f>
        <v>4568.1854329999996</v>
      </c>
    </row>
    <row r="547" spans="1:11" ht="15.75" customHeight="1" x14ac:dyDescent="0.25">
      <c r="A547" s="9" t="s">
        <v>577</v>
      </c>
      <c r="B547" s="9" t="s">
        <v>603</v>
      </c>
      <c r="C547" s="10" t="s">
        <v>604</v>
      </c>
      <c r="D547" s="16" t="s">
        <v>9</v>
      </c>
      <c r="E547" s="17">
        <v>72.349999999999994</v>
      </c>
      <c r="F547" s="14">
        <v>597.53</v>
      </c>
      <c r="G547" s="14">
        <v>43.46</v>
      </c>
      <c r="H547" s="14"/>
      <c r="I547" s="13">
        <f t="shared" si="119"/>
        <v>743.26756699999999</v>
      </c>
      <c r="J547" s="14">
        <f t="shared" si="120"/>
        <v>54.059894</v>
      </c>
      <c r="K547" s="14"/>
    </row>
    <row r="548" spans="1:11" ht="15.75" customHeight="1" x14ac:dyDescent="0.25">
      <c r="A548" s="9"/>
      <c r="B548" s="9"/>
      <c r="C548" s="10"/>
      <c r="D548" s="16"/>
      <c r="E548" s="17"/>
      <c r="F548" s="14">
        <f>E547*F547</f>
        <v>43231.295499999993</v>
      </c>
      <c r="G548" s="14">
        <f>E547*G547</f>
        <v>3144.3309999999997</v>
      </c>
      <c r="H548" s="14">
        <f>SUM(F548,G548)</f>
        <v>46375.626499999991</v>
      </c>
      <c r="I548" s="13">
        <f t="shared" si="119"/>
        <v>53775.408472449992</v>
      </c>
      <c r="J548" s="14">
        <f t="shared" si="120"/>
        <v>3911.2333308999996</v>
      </c>
      <c r="K548" s="14">
        <f t="shared" ref="K548" si="122">J548+I548</f>
        <v>57686.641803349994</v>
      </c>
    </row>
    <row r="549" spans="1:11" ht="15.75" customHeight="1" x14ac:dyDescent="0.25">
      <c r="A549" s="41" t="s">
        <v>579</v>
      </c>
      <c r="B549" s="9" t="s">
        <v>603</v>
      </c>
      <c r="C549" s="10" t="s">
        <v>605</v>
      </c>
      <c r="D549" s="16" t="s">
        <v>9</v>
      </c>
      <c r="E549" s="17">
        <v>21.52</v>
      </c>
      <c r="F549" s="14">
        <v>597.53</v>
      </c>
      <c r="G549" s="14">
        <v>43.46</v>
      </c>
      <c r="H549" s="14"/>
      <c r="I549" s="13">
        <f t="shared" si="119"/>
        <v>743.26756699999999</v>
      </c>
      <c r="J549" s="14">
        <f t="shared" si="120"/>
        <v>54.059894</v>
      </c>
      <c r="K549" s="14"/>
    </row>
    <row r="550" spans="1:11" ht="15.75" customHeight="1" x14ac:dyDescent="0.25">
      <c r="A550" s="9"/>
      <c r="B550" s="9"/>
      <c r="C550" s="10"/>
      <c r="D550" s="16"/>
      <c r="E550" s="17"/>
      <c r="F550" s="14">
        <f>E549*F549</f>
        <v>12858.845599999999</v>
      </c>
      <c r="G550" s="14">
        <f>E549*G549</f>
        <v>935.25919999999996</v>
      </c>
      <c r="H550" s="14">
        <f>SUM(F550,G550)</f>
        <v>13794.104799999999</v>
      </c>
      <c r="I550" s="13">
        <f t="shared" si="119"/>
        <v>15995.118041839998</v>
      </c>
      <c r="J550" s="14">
        <f t="shared" si="120"/>
        <v>1163.3689188799999</v>
      </c>
      <c r="K550" s="14">
        <f t="shared" ref="K550" si="123">J550+I550</f>
        <v>17158.486960719998</v>
      </c>
    </row>
    <row r="551" spans="1:11" ht="15.75" customHeight="1" x14ac:dyDescent="0.25">
      <c r="A551" s="9" t="s">
        <v>583</v>
      </c>
      <c r="B551" s="41" t="s">
        <v>48</v>
      </c>
      <c r="C551" s="42" t="s">
        <v>606</v>
      </c>
      <c r="D551" s="43" t="s">
        <v>24</v>
      </c>
      <c r="E551" s="44">
        <v>257.75</v>
      </c>
      <c r="F551" s="45">
        <v>84.4</v>
      </c>
      <c r="G551" s="45">
        <v>21.1</v>
      </c>
      <c r="H551" s="46"/>
      <c r="I551" s="13">
        <f t="shared" si="119"/>
        <v>104.98516000000001</v>
      </c>
      <c r="J551" s="14">
        <f t="shared" si="120"/>
        <v>26.246290000000002</v>
      </c>
      <c r="K551" s="14"/>
    </row>
    <row r="552" spans="1:11" ht="15.75" customHeight="1" x14ac:dyDescent="0.25">
      <c r="A552" s="9"/>
      <c r="B552" s="9"/>
      <c r="C552" s="10"/>
      <c r="D552" s="16"/>
      <c r="E552" s="17"/>
      <c r="F552" s="14">
        <f>E551*F551</f>
        <v>21754.100000000002</v>
      </c>
      <c r="G552" s="14">
        <f>E551*G551</f>
        <v>5438.5250000000005</v>
      </c>
      <c r="H552" s="14">
        <f>SUM(F552,G552)</f>
        <v>27192.625000000004</v>
      </c>
      <c r="I552" s="13">
        <f t="shared" si="119"/>
        <v>27059.924990000003</v>
      </c>
      <c r="J552" s="14">
        <f t="shared" si="120"/>
        <v>6764.9812475000008</v>
      </c>
      <c r="K552" s="14">
        <f t="shared" ref="K552" si="124">J552+I552</f>
        <v>33824.906237500007</v>
      </c>
    </row>
    <row r="553" spans="1:11" ht="15.75" customHeight="1" x14ac:dyDescent="0.25">
      <c r="A553" s="41" t="s">
        <v>586</v>
      </c>
      <c r="B553" s="41" t="s">
        <v>48</v>
      </c>
      <c r="C553" s="42" t="s">
        <v>607</v>
      </c>
      <c r="D553" s="43" t="s">
        <v>9</v>
      </c>
      <c r="E553" s="44">
        <v>18.28</v>
      </c>
      <c r="F553" s="45">
        <v>132.80000000000001</v>
      </c>
      <c r="G553" s="45">
        <v>33.200000000000003</v>
      </c>
      <c r="H553" s="46"/>
      <c r="I553" s="13">
        <f t="shared" si="119"/>
        <v>165.18992</v>
      </c>
      <c r="J553" s="14">
        <f t="shared" si="120"/>
        <v>41.29748</v>
      </c>
      <c r="K553" s="14"/>
    </row>
    <row r="554" spans="1:11" ht="15.75" customHeight="1" x14ac:dyDescent="0.25">
      <c r="A554" s="9"/>
      <c r="B554" s="9"/>
      <c r="C554" s="10"/>
      <c r="D554" s="16"/>
      <c r="E554" s="17"/>
      <c r="F554" s="14">
        <f>E553*F553</f>
        <v>2427.5840000000003</v>
      </c>
      <c r="G554" s="14">
        <f>E553*G553</f>
        <v>606.89600000000007</v>
      </c>
      <c r="H554" s="14">
        <f>SUM(F554,G554)</f>
        <v>3034.4800000000005</v>
      </c>
      <c r="I554" s="13">
        <f t="shared" si="119"/>
        <v>3019.6717376000006</v>
      </c>
      <c r="J554" s="14">
        <f t="shared" si="120"/>
        <v>754.91793440000015</v>
      </c>
      <c r="K554" s="14">
        <f t="shared" ref="K554" si="125">J554+I554</f>
        <v>3774.589672000001</v>
      </c>
    </row>
    <row r="555" spans="1:11" ht="15.75" customHeight="1" x14ac:dyDescent="0.25">
      <c r="A555" s="9" t="s">
        <v>589</v>
      </c>
      <c r="B555" s="41" t="s">
        <v>48</v>
      </c>
      <c r="C555" s="42" t="s">
        <v>608</v>
      </c>
      <c r="D555" s="43" t="s">
        <v>9</v>
      </c>
      <c r="E555" s="44">
        <v>16.47</v>
      </c>
      <c r="F555" s="45">
        <v>111.76</v>
      </c>
      <c r="G555" s="45">
        <v>27.94</v>
      </c>
      <c r="H555" s="46"/>
      <c r="I555" s="13">
        <f t="shared" si="119"/>
        <v>139.01826400000002</v>
      </c>
      <c r="J555" s="14">
        <f t="shared" si="120"/>
        <v>34.754566000000004</v>
      </c>
      <c r="K555" s="14"/>
    </row>
    <row r="556" spans="1:11" ht="15.75" customHeight="1" x14ac:dyDescent="0.25">
      <c r="A556" s="9"/>
      <c r="B556" s="9"/>
      <c r="C556" s="10"/>
      <c r="D556" s="16"/>
      <c r="E556" s="17"/>
      <c r="F556" s="14">
        <f>E555*F555</f>
        <v>1840.6871999999998</v>
      </c>
      <c r="G556" s="14">
        <f>E555*G555</f>
        <v>460.17179999999996</v>
      </c>
      <c r="H556" s="14">
        <f>SUM(F556,G556)</f>
        <v>2300.8589999999999</v>
      </c>
      <c r="I556" s="13">
        <f t="shared" si="119"/>
        <v>2289.63080808</v>
      </c>
      <c r="J556" s="14">
        <f t="shared" si="120"/>
        <v>572.40770201999999</v>
      </c>
      <c r="K556" s="14">
        <f t="shared" ref="K556" si="126">J556+I556</f>
        <v>2862.0385101000002</v>
      </c>
    </row>
    <row r="557" spans="1:11" ht="15.75" customHeight="1" x14ac:dyDescent="0.25">
      <c r="A557" s="41" t="s">
        <v>591</v>
      </c>
      <c r="B557" s="41" t="s">
        <v>48</v>
      </c>
      <c r="C557" s="47" t="s">
        <v>609</v>
      </c>
      <c r="D557" s="51" t="s">
        <v>24</v>
      </c>
      <c r="E557" s="50">
        <v>33.799999999999997</v>
      </c>
      <c r="F557" s="45">
        <v>51.84</v>
      </c>
      <c r="G557" s="45">
        <v>30</v>
      </c>
      <c r="H557" s="46"/>
      <c r="I557" s="13">
        <f t="shared" si="119"/>
        <v>64.483776000000006</v>
      </c>
      <c r="J557" s="14">
        <f t="shared" si="120"/>
        <v>37.317</v>
      </c>
      <c r="K557" s="14"/>
    </row>
    <row r="558" spans="1:11" ht="15.75" customHeight="1" x14ac:dyDescent="0.25">
      <c r="A558" s="9"/>
      <c r="B558" s="9"/>
      <c r="C558" s="10"/>
      <c r="D558" s="16"/>
      <c r="E558" s="17"/>
      <c r="F558" s="14">
        <f>E557*F557</f>
        <v>1752.192</v>
      </c>
      <c r="G558" s="14">
        <f>E557*G557</f>
        <v>1013.9999999999999</v>
      </c>
      <c r="H558" s="14">
        <f>SUM(F558,G558)</f>
        <v>2766.192</v>
      </c>
      <c r="I558" s="13">
        <f t="shared" si="119"/>
        <v>2179.5516287999999</v>
      </c>
      <c r="J558" s="14">
        <f t="shared" si="120"/>
        <v>1261.3145999999999</v>
      </c>
      <c r="K558" s="14">
        <f t="shared" ref="K558" si="127">J558+I558</f>
        <v>3440.8662287999996</v>
      </c>
    </row>
    <row r="559" spans="1:11" ht="15.75" customHeight="1" x14ac:dyDescent="0.25">
      <c r="A559" s="9" t="s">
        <v>593</v>
      </c>
      <c r="B559" s="41" t="s">
        <v>48</v>
      </c>
      <c r="C559" s="42" t="s">
        <v>610</v>
      </c>
      <c r="D559" s="43" t="s">
        <v>9</v>
      </c>
      <c r="E559" s="44">
        <v>57</v>
      </c>
      <c r="F559" s="45">
        <v>820.34</v>
      </c>
      <c r="G559" s="45">
        <v>205.09</v>
      </c>
      <c r="H559" s="46"/>
      <c r="I559" s="13">
        <f t="shared" si="119"/>
        <v>1020.420926</v>
      </c>
      <c r="J559" s="14">
        <f t="shared" si="120"/>
        <v>255.11145100000002</v>
      </c>
      <c r="K559" s="14"/>
    </row>
    <row r="560" spans="1:11" ht="15.75" customHeight="1" x14ac:dyDescent="0.25">
      <c r="A560" s="9"/>
      <c r="B560" s="9"/>
      <c r="C560" s="10"/>
      <c r="D560" s="16"/>
      <c r="E560" s="17"/>
      <c r="F560" s="14">
        <f>E559*F559</f>
        <v>46759.380000000005</v>
      </c>
      <c r="G560" s="14">
        <f>E559*G559</f>
        <v>11690.130000000001</v>
      </c>
      <c r="H560" s="14">
        <f>SUM(F560,G560)</f>
        <v>58449.510000000009</v>
      </c>
      <c r="I560" s="13">
        <f t="shared" si="119"/>
        <v>58163.992782000008</v>
      </c>
      <c r="J560" s="14">
        <f t="shared" si="120"/>
        <v>14541.352707000002</v>
      </c>
      <c r="K560" s="14">
        <f t="shared" ref="K560" si="128">J560+I560</f>
        <v>72705.345489000014</v>
      </c>
    </row>
    <row r="561" spans="1:11" ht="15.75" customHeight="1" x14ac:dyDescent="0.25">
      <c r="A561" s="9"/>
      <c r="B561" s="9"/>
      <c r="C561" s="10"/>
      <c r="D561" s="16"/>
      <c r="E561" s="17"/>
      <c r="F561" s="14"/>
      <c r="G561" s="14"/>
      <c r="H561" s="14"/>
      <c r="I561" s="14"/>
      <c r="J561" s="14"/>
      <c r="K561" s="14"/>
    </row>
    <row r="562" spans="1:11" ht="15.75" customHeight="1" x14ac:dyDescent="0.25">
      <c r="A562" s="9"/>
      <c r="B562" s="9"/>
      <c r="C562" s="52" t="s">
        <v>611</v>
      </c>
      <c r="D562" s="16"/>
      <c r="E562" s="17"/>
      <c r="F562" s="14">
        <f t="shared" ref="F562:J562" si="129">F560+F558+F556+F554+F552+F550+F548+F546</f>
        <v>133766.55429999999</v>
      </c>
      <c r="G562" s="14">
        <f t="shared" si="129"/>
        <v>23819.313000000002</v>
      </c>
      <c r="H562" s="14">
        <f>SUM(F562,G562)</f>
        <v>157585.86729999998</v>
      </c>
      <c r="I562" s="14">
        <f t="shared" si="129"/>
        <v>166392.21689377</v>
      </c>
      <c r="J562" s="14">
        <f t="shared" si="129"/>
        <v>29628.843440699999</v>
      </c>
      <c r="K562" s="14">
        <f>SUM(I562,J562)</f>
        <v>196021.06033447001</v>
      </c>
    </row>
    <row r="563" spans="1:11" ht="15.75" customHeight="1" x14ac:dyDescent="0.25">
      <c r="A563" s="9"/>
      <c r="B563" s="9"/>
      <c r="C563" s="21"/>
      <c r="D563" s="16"/>
      <c r="E563" s="17"/>
      <c r="F563" s="14"/>
      <c r="G563" s="14"/>
      <c r="H563" s="14"/>
      <c r="I563" s="14"/>
      <c r="J563" s="14"/>
      <c r="K563" s="14"/>
    </row>
    <row r="564" spans="1:11" ht="15.75" customHeight="1" x14ac:dyDescent="0.25">
      <c r="A564" s="49" t="s">
        <v>599</v>
      </c>
      <c r="B564" s="49"/>
      <c r="C564" s="4" t="s">
        <v>613</v>
      </c>
      <c r="D564" s="24"/>
      <c r="E564" s="22"/>
      <c r="F564" s="8"/>
      <c r="G564" s="8"/>
      <c r="H564" s="8"/>
      <c r="I564" s="8"/>
      <c r="J564" s="8"/>
      <c r="K564" s="8"/>
    </row>
    <row r="565" spans="1:11" ht="15.75" customHeight="1" x14ac:dyDescent="0.25">
      <c r="A565" s="41" t="s">
        <v>601</v>
      </c>
      <c r="B565" s="41" t="s">
        <v>48</v>
      </c>
      <c r="C565" s="42" t="s">
        <v>615</v>
      </c>
      <c r="D565" s="43" t="s">
        <v>9</v>
      </c>
      <c r="E565" s="44">
        <v>2928.38</v>
      </c>
      <c r="F565" s="45">
        <v>2.2000000000000002</v>
      </c>
      <c r="G565" s="45">
        <v>0.55000000000000004</v>
      </c>
      <c r="H565" s="46"/>
      <c r="I565" s="13">
        <f t="shared" ref="I565:I566" si="130">F565*1.2439</f>
        <v>2.73658</v>
      </c>
      <c r="J565" s="14">
        <f t="shared" ref="J565:J566" si="131">G565*1.2439</f>
        <v>0.684145</v>
      </c>
      <c r="K565" s="14"/>
    </row>
    <row r="566" spans="1:11" ht="15.75" customHeight="1" x14ac:dyDescent="0.25">
      <c r="A566" s="9"/>
      <c r="B566" s="9"/>
      <c r="C566" s="10"/>
      <c r="D566" s="16"/>
      <c r="E566" s="17"/>
      <c r="F566" s="14">
        <f>E565*F565</f>
        <v>6442.4360000000006</v>
      </c>
      <c r="G566" s="14">
        <f>E565*G565</f>
        <v>1610.6090000000002</v>
      </c>
      <c r="H566" s="14">
        <f>SUM(F566,G566)</f>
        <v>8053.045000000001</v>
      </c>
      <c r="I566" s="13">
        <f t="shared" si="130"/>
        <v>8013.7461404000005</v>
      </c>
      <c r="J566" s="14">
        <f t="shared" si="131"/>
        <v>2003.4365351000001</v>
      </c>
      <c r="K566" s="14">
        <f t="shared" ref="K566" si="132">J566+I566</f>
        <v>10017.1826755</v>
      </c>
    </row>
    <row r="567" spans="1:11" ht="15.75" customHeight="1" x14ac:dyDescent="0.25">
      <c r="A567" s="9"/>
      <c r="B567" s="9"/>
      <c r="C567" s="10"/>
      <c r="D567" s="16"/>
      <c r="E567" s="17"/>
      <c r="F567" s="14"/>
      <c r="G567" s="14"/>
      <c r="H567" s="14"/>
      <c r="I567" s="14"/>
      <c r="J567" s="14"/>
      <c r="K567" s="14"/>
    </row>
    <row r="568" spans="1:11" ht="15.75" customHeight="1" x14ac:dyDescent="0.25">
      <c r="A568" s="9"/>
      <c r="B568" s="9"/>
      <c r="C568" s="21" t="s">
        <v>616</v>
      </c>
      <c r="D568" s="16"/>
      <c r="E568" s="17"/>
      <c r="F568" s="14">
        <f t="shared" ref="F568:J568" si="133">F566</f>
        <v>6442.4360000000006</v>
      </c>
      <c r="G568" s="14">
        <f t="shared" si="133"/>
        <v>1610.6090000000002</v>
      </c>
      <c r="H568" s="14">
        <f>SUM(F568,G568)</f>
        <v>8053.045000000001</v>
      </c>
      <c r="I568" s="14">
        <f t="shared" si="133"/>
        <v>8013.7461404000005</v>
      </c>
      <c r="J568" s="14">
        <f t="shared" si="133"/>
        <v>2003.4365351000001</v>
      </c>
      <c r="K568" s="14">
        <f>SUM(I568,J568)</f>
        <v>10017.1826755</v>
      </c>
    </row>
    <row r="569" spans="1:11" ht="15.75" customHeight="1" x14ac:dyDescent="0.25">
      <c r="A569" s="9"/>
      <c r="B569" s="9"/>
      <c r="C569" s="21"/>
      <c r="D569" s="16"/>
      <c r="E569" s="17"/>
      <c r="F569" s="14"/>
      <c r="G569" s="14"/>
      <c r="H569" s="14"/>
      <c r="I569" s="14"/>
      <c r="J569" s="14"/>
      <c r="K569" s="14"/>
    </row>
    <row r="570" spans="1:11" s="72" customFormat="1" ht="15.75" customHeight="1" x14ac:dyDescent="0.25">
      <c r="A570" s="49" t="s">
        <v>612</v>
      </c>
      <c r="B570" s="49"/>
      <c r="C570" s="34" t="s">
        <v>618</v>
      </c>
      <c r="D570" s="24"/>
      <c r="E570" s="22"/>
      <c r="F570" s="8"/>
      <c r="G570" s="8"/>
      <c r="H570" s="8"/>
      <c r="I570" s="8"/>
      <c r="J570" s="8"/>
      <c r="K570" s="8"/>
    </row>
    <row r="571" spans="1:11" s="72" customFormat="1" ht="30" customHeight="1" x14ac:dyDescent="0.25">
      <c r="A571" s="74" t="s">
        <v>614</v>
      </c>
      <c r="B571" s="75" t="s">
        <v>619</v>
      </c>
      <c r="C571" s="76" t="s">
        <v>620</v>
      </c>
      <c r="D571" s="75" t="s">
        <v>9</v>
      </c>
      <c r="E571" s="77">
        <v>91.17</v>
      </c>
      <c r="F571" s="45">
        <f>(14.38+18.89+0.03)</f>
        <v>33.300000000000004</v>
      </c>
      <c r="G571" s="45">
        <v>24.03</v>
      </c>
      <c r="H571" s="45"/>
      <c r="I571" s="13">
        <f t="shared" ref="I571:I576" si="134">F571*1.2439</f>
        <v>41.421870000000006</v>
      </c>
      <c r="J571" s="14">
        <f t="shared" ref="J571:J576" si="135">G571*1.2439</f>
        <v>29.890917000000002</v>
      </c>
      <c r="K571" s="14"/>
    </row>
    <row r="572" spans="1:11" s="72" customFormat="1" ht="30" customHeight="1" x14ac:dyDescent="0.25">
      <c r="A572" s="78"/>
      <c r="B572" s="75"/>
      <c r="C572" s="76"/>
      <c r="D572" s="75"/>
      <c r="E572" s="77"/>
      <c r="F572" s="14">
        <f>E571*F571</f>
        <v>3035.9610000000002</v>
      </c>
      <c r="G572" s="14">
        <f>E571*G571</f>
        <v>2190.8151000000003</v>
      </c>
      <c r="H572" s="14">
        <f>SUM(F572,G572)</f>
        <v>5226.776100000001</v>
      </c>
      <c r="I572" s="13">
        <f t="shared" si="134"/>
        <v>3776.4318879000002</v>
      </c>
      <c r="J572" s="14">
        <f t="shared" si="135"/>
        <v>2725.1549028900004</v>
      </c>
      <c r="K572" s="14">
        <f t="shared" ref="K572" si="136">J572+I572</f>
        <v>6501.586790790001</v>
      </c>
    </row>
    <row r="573" spans="1:11" s="72" customFormat="1" ht="30" x14ac:dyDescent="0.25">
      <c r="A573" s="74" t="s">
        <v>664</v>
      </c>
      <c r="B573" s="75" t="s">
        <v>621</v>
      </c>
      <c r="C573" s="76" t="s">
        <v>622</v>
      </c>
      <c r="D573" s="75" t="s">
        <v>66</v>
      </c>
      <c r="E573" s="77">
        <v>405.64</v>
      </c>
      <c r="F573" s="45">
        <v>5.36</v>
      </c>
      <c r="G573" s="45">
        <v>1.08</v>
      </c>
      <c r="H573" s="45"/>
      <c r="I573" s="13">
        <f t="shared" si="134"/>
        <v>6.6673040000000006</v>
      </c>
      <c r="J573" s="14">
        <f t="shared" si="135"/>
        <v>1.3434120000000001</v>
      </c>
      <c r="K573" s="14"/>
    </row>
    <row r="574" spans="1:11" s="72" customFormat="1" ht="19.5" customHeight="1" x14ac:dyDescent="0.25">
      <c r="A574" s="78"/>
      <c r="B574" s="75"/>
      <c r="C574" s="76"/>
      <c r="D574" s="75"/>
      <c r="E574" s="77"/>
      <c r="F574" s="14">
        <f>E573*F573</f>
        <v>2174.2303999999999</v>
      </c>
      <c r="G574" s="14">
        <f>E573*G573</f>
        <v>438.09120000000001</v>
      </c>
      <c r="H574" s="14">
        <f>SUM(F574,G574)</f>
        <v>2612.3215999999998</v>
      </c>
      <c r="I574" s="13">
        <f t="shared" si="134"/>
        <v>2704.5251945599998</v>
      </c>
      <c r="J574" s="14">
        <f t="shared" si="135"/>
        <v>544.94164367999997</v>
      </c>
      <c r="K574" s="14">
        <f t="shared" ref="K574" si="137">J574+I574</f>
        <v>3249.4668382399996</v>
      </c>
    </row>
    <row r="575" spans="1:11" s="72" customFormat="1" ht="30" x14ac:dyDescent="0.25">
      <c r="A575" s="74" t="s">
        <v>668</v>
      </c>
      <c r="B575" s="75" t="s">
        <v>623</v>
      </c>
      <c r="C575" s="76" t="s">
        <v>72</v>
      </c>
      <c r="D575" s="75" t="s">
        <v>66</v>
      </c>
      <c r="E575" s="77">
        <v>118.55</v>
      </c>
      <c r="F575" s="45">
        <v>6.59</v>
      </c>
      <c r="G575" s="45">
        <v>4.5</v>
      </c>
      <c r="H575" s="46"/>
      <c r="I575" s="13">
        <f t="shared" si="134"/>
        <v>8.1973009999999995</v>
      </c>
      <c r="J575" s="14">
        <f t="shared" si="135"/>
        <v>5.59755</v>
      </c>
      <c r="K575" s="14"/>
    </row>
    <row r="576" spans="1:11" s="72" customFormat="1" ht="19.5" customHeight="1" x14ac:dyDescent="0.25">
      <c r="A576" s="78"/>
      <c r="B576" s="75"/>
      <c r="C576" s="76"/>
      <c r="D576" s="75"/>
      <c r="E576" s="77"/>
      <c r="F576" s="14">
        <f>E575*F575</f>
        <v>781.24450000000002</v>
      </c>
      <c r="G576" s="14">
        <f>E575*G575</f>
        <v>533.47500000000002</v>
      </c>
      <c r="H576" s="14">
        <f>SUM(F576,G576)</f>
        <v>1314.7195000000002</v>
      </c>
      <c r="I576" s="13">
        <f t="shared" si="134"/>
        <v>971.79003354999998</v>
      </c>
      <c r="J576" s="14">
        <f t="shared" si="135"/>
        <v>663.58955250000008</v>
      </c>
      <c r="K576" s="14">
        <f t="shared" ref="K576" si="138">J576+I576</f>
        <v>1635.3795860499999</v>
      </c>
    </row>
    <row r="577" spans="1:11" s="72" customFormat="1" ht="30" x14ac:dyDescent="0.25">
      <c r="A577" s="74" t="s">
        <v>672</v>
      </c>
      <c r="B577" s="75" t="s">
        <v>59</v>
      </c>
      <c r="C577" s="76" t="s">
        <v>624</v>
      </c>
      <c r="D577" s="75" t="s">
        <v>19</v>
      </c>
      <c r="E577" s="77">
        <v>7.39</v>
      </c>
      <c r="F577" s="45">
        <f>0.05+376.21+0.07</f>
        <v>376.33</v>
      </c>
      <c r="G577" s="45">
        <v>21.6</v>
      </c>
      <c r="H577" s="46"/>
      <c r="I577" s="13">
        <f t="shared" ref="I577:I596" si="139">F577*1.2439</f>
        <v>468.11688699999996</v>
      </c>
      <c r="J577" s="14">
        <f t="shared" ref="J577:J596" si="140">G577*1.2439</f>
        <v>26.86824</v>
      </c>
      <c r="K577" s="14"/>
    </row>
    <row r="578" spans="1:11" s="72" customFormat="1" ht="19.5" customHeight="1" x14ac:dyDescent="0.25">
      <c r="A578" s="78"/>
      <c r="B578" s="75"/>
      <c r="C578" s="76"/>
      <c r="D578" s="75"/>
      <c r="E578" s="77"/>
      <c r="F578" s="14">
        <f>E577*F577</f>
        <v>2781.0786999999996</v>
      </c>
      <c r="G578" s="14">
        <f>E577*G577</f>
        <v>159.624</v>
      </c>
      <c r="H578" s="14">
        <f>SUM(F578,G578)</f>
        <v>2940.7026999999994</v>
      </c>
      <c r="I578" s="13">
        <f t="shared" si="139"/>
        <v>3459.3837949299996</v>
      </c>
      <c r="J578" s="14">
        <f t="shared" si="140"/>
        <v>198.5562936</v>
      </c>
      <c r="K578" s="14">
        <f t="shared" ref="K578" si="141">J578+I578</f>
        <v>3657.9400885299997</v>
      </c>
    </row>
    <row r="579" spans="1:11" s="72" customFormat="1" ht="30" customHeight="1" x14ac:dyDescent="0.25">
      <c r="A579" s="74" t="s">
        <v>674</v>
      </c>
      <c r="B579" s="75" t="s">
        <v>625</v>
      </c>
      <c r="C579" s="76" t="s">
        <v>620</v>
      </c>
      <c r="D579" s="75" t="s">
        <v>9</v>
      </c>
      <c r="E579" s="77">
        <v>12.6</v>
      </c>
      <c r="F579" s="45">
        <f>(3.65+8.64)</f>
        <v>12.290000000000001</v>
      </c>
      <c r="G579" s="45">
        <v>7.5</v>
      </c>
      <c r="H579" s="46"/>
      <c r="I579" s="13">
        <f t="shared" si="139"/>
        <v>15.287531000000001</v>
      </c>
      <c r="J579" s="14">
        <f t="shared" si="140"/>
        <v>9.32925</v>
      </c>
      <c r="K579" s="14"/>
    </row>
    <row r="580" spans="1:11" s="72" customFormat="1" ht="30" customHeight="1" x14ac:dyDescent="0.25">
      <c r="A580" s="78"/>
      <c r="B580" s="75"/>
      <c r="C580" s="76"/>
      <c r="D580" s="75"/>
      <c r="E580" s="77"/>
      <c r="F580" s="14">
        <f>E579*F579</f>
        <v>154.85400000000001</v>
      </c>
      <c r="G580" s="14">
        <f>E579*G579</f>
        <v>94.5</v>
      </c>
      <c r="H580" s="14">
        <f>SUM(F580,G580)</f>
        <v>249.35400000000001</v>
      </c>
      <c r="I580" s="13">
        <f t="shared" si="139"/>
        <v>192.62289060000001</v>
      </c>
      <c r="J580" s="14">
        <f t="shared" si="140"/>
        <v>117.54855000000001</v>
      </c>
      <c r="K580" s="14">
        <f t="shared" ref="K580" si="142">J580+I580</f>
        <v>310.17144059999998</v>
      </c>
    </row>
    <row r="581" spans="1:11" s="72" customFormat="1" ht="19.5" customHeight="1" x14ac:dyDescent="0.25">
      <c r="A581" s="74" t="s">
        <v>680</v>
      </c>
      <c r="B581" s="75" t="s">
        <v>48</v>
      </c>
      <c r="C581" s="80" t="s">
        <v>626</v>
      </c>
      <c r="D581" s="75" t="s">
        <v>19</v>
      </c>
      <c r="E581" s="77">
        <v>44.58</v>
      </c>
      <c r="F581" s="45">
        <f>(0.03+63.91)</f>
        <v>63.94</v>
      </c>
      <c r="G581" s="45">
        <v>21.07</v>
      </c>
      <c r="H581" s="46"/>
      <c r="I581" s="13">
        <f t="shared" si="139"/>
        <v>79.534965999999997</v>
      </c>
      <c r="J581" s="14">
        <f t="shared" si="140"/>
        <v>26.208973</v>
      </c>
      <c r="K581" s="14"/>
    </row>
    <row r="582" spans="1:11" s="72" customFormat="1" ht="19.5" customHeight="1" x14ac:dyDescent="0.25">
      <c r="A582" s="78"/>
      <c r="B582" s="75"/>
      <c r="C582" s="80"/>
      <c r="D582" s="75"/>
      <c r="E582" s="77"/>
      <c r="F582" s="14">
        <f>E581*F581</f>
        <v>2850.4451999999997</v>
      </c>
      <c r="G582" s="14">
        <f>E581*G581</f>
        <v>939.30060000000003</v>
      </c>
      <c r="H582" s="14">
        <f>SUM(F582,G582)</f>
        <v>3789.7457999999997</v>
      </c>
      <c r="I582" s="13">
        <f t="shared" si="139"/>
        <v>3545.6687842799997</v>
      </c>
      <c r="J582" s="14">
        <f t="shared" si="140"/>
        <v>1168.39601634</v>
      </c>
      <c r="K582" s="14">
        <f t="shared" ref="K582" si="143">J582+I582</f>
        <v>4714.0648006199999</v>
      </c>
    </row>
    <row r="583" spans="1:11" s="72" customFormat="1" ht="30" customHeight="1" x14ac:dyDescent="0.25">
      <c r="A583" s="74" t="s">
        <v>682</v>
      </c>
      <c r="B583" s="75" t="s">
        <v>627</v>
      </c>
      <c r="C583" s="80" t="s">
        <v>628</v>
      </c>
      <c r="D583" s="75" t="s">
        <v>9</v>
      </c>
      <c r="E583" s="77">
        <v>891.64</v>
      </c>
      <c r="F583" s="45">
        <v>2.17</v>
      </c>
      <c r="G583" s="45">
        <v>3.32</v>
      </c>
      <c r="H583" s="46"/>
      <c r="I583" s="13">
        <f t="shared" si="139"/>
        <v>2.6992629999999997</v>
      </c>
      <c r="J583" s="14">
        <f t="shared" si="140"/>
        <v>4.1297480000000002</v>
      </c>
      <c r="K583" s="14"/>
    </row>
    <row r="584" spans="1:11" s="72" customFormat="1" ht="30" customHeight="1" x14ac:dyDescent="0.25">
      <c r="A584" s="78"/>
      <c r="B584" s="81"/>
      <c r="C584" s="80"/>
      <c r="D584" s="75"/>
      <c r="E584" s="77"/>
      <c r="F584" s="14">
        <f>E583*F583</f>
        <v>1934.8588</v>
      </c>
      <c r="G584" s="14">
        <f>E583*G583</f>
        <v>2960.2447999999999</v>
      </c>
      <c r="H584" s="14">
        <f>SUM(F584,G584)</f>
        <v>4895.1036000000004</v>
      </c>
      <c r="I584" s="13">
        <f t="shared" si="139"/>
        <v>2406.7708613199998</v>
      </c>
      <c r="J584" s="14">
        <f t="shared" si="140"/>
        <v>3682.24850672</v>
      </c>
      <c r="K584" s="14">
        <f t="shared" ref="K584" si="144">J584+I584</f>
        <v>6089.0193680399998</v>
      </c>
    </row>
    <row r="585" spans="1:11" s="72" customFormat="1" ht="19.5" customHeight="1" x14ac:dyDescent="0.25">
      <c r="A585" s="74" t="s">
        <v>686</v>
      </c>
      <c r="B585" s="81" t="s">
        <v>629</v>
      </c>
      <c r="C585" s="76" t="s">
        <v>630</v>
      </c>
      <c r="D585" s="75" t="s">
        <v>9</v>
      </c>
      <c r="E585" s="77">
        <v>891.64</v>
      </c>
      <c r="F585" s="45">
        <v>10.34</v>
      </c>
      <c r="G585" s="45">
        <v>1.23</v>
      </c>
      <c r="H585" s="46"/>
      <c r="I585" s="13">
        <f t="shared" si="139"/>
        <v>12.861926</v>
      </c>
      <c r="J585" s="14">
        <f t="shared" si="140"/>
        <v>1.5299970000000001</v>
      </c>
      <c r="K585" s="14"/>
    </row>
    <row r="586" spans="1:11" s="72" customFormat="1" ht="19.5" customHeight="1" x14ac:dyDescent="0.25">
      <c r="A586" s="78"/>
      <c r="B586" s="81"/>
      <c r="C586" s="76"/>
      <c r="D586" s="75"/>
      <c r="E586" s="77"/>
      <c r="F586" s="14">
        <f>E585*F585</f>
        <v>9219.5576000000001</v>
      </c>
      <c r="G586" s="14">
        <f>E585*G585</f>
        <v>1096.7172</v>
      </c>
      <c r="H586" s="14">
        <f>SUM(F586,G586)</f>
        <v>10316.274799999999</v>
      </c>
      <c r="I586" s="13">
        <f t="shared" si="139"/>
        <v>11468.207698640001</v>
      </c>
      <c r="J586" s="14">
        <f t="shared" si="140"/>
        <v>1364.2065250800001</v>
      </c>
      <c r="K586" s="14">
        <f t="shared" ref="K586" si="145">J586+I586</f>
        <v>12832.414223720001</v>
      </c>
    </row>
    <row r="587" spans="1:11" s="72" customFormat="1" ht="30" customHeight="1" x14ac:dyDescent="0.25">
      <c r="A587" s="74" t="s">
        <v>689</v>
      </c>
      <c r="B587" s="75" t="s">
        <v>631</v>
      </c>
      <c r="C587" s="76" t="s">
        <v>632</v>
      </c>
      <c r="D587" s="75" t="s">
        <v>9</v>
      </c>
      <c r="E587" s="77">
        <v>816.19</v>
      </c>
      <c r="F587" s="45">
        <f>(0.09+28.9+0.1)</f>
        <v>29.09</v>
      </c>
      <c r="G587" s="45">
        <v>28.9</v>
      </c>
      <c r="H587" s="46"/>
      <c r="I587" s="13">
        <f t="shared" si="139"/>
        <v>36.185051000000001</v>
      </c>
      <c r="J587" s="14">
        <f t="shared" si="140"/>
        <v>35.948709999999998</v>
      </c>
      <c r="K587" s="14"/>
    </row>
    <row r="588" spans="1:11" s="72" customFormat="1" ht="30" customHeight="1" x14ac:dyDescent="0.25">
      <c r="A588" s="78"/>
      <c r="B588" s="75"/>
      <c r="C588" s="76"/>
      <c r="D588" s="75"/>
      <c r="E588" s="77"/>
      <c r="F588" s="14">
        <f>E587*F587</f>
        <v>23742.967100000002</v>
      </c>
      <c r="G588" s="14">
        <f>E587*G587</f>
        <v>23587.891</v>
      </c>
      <c r="H588" s="14">
        <f>SUM(F588,G588)</f>
        <v>47330.858099999998</v>
      </c>
      <c r="I588" s="13">
        <f t="shared" si="139"/>
        <v>29533.876775690002</v>
      </c>
      <c r="J588" s="14">
        <f t="shared" si="140"/>
        <v>29340.977614899999</v>
      </c>
      <c r="K588" s="14">
        <f t="shared" ref="K588" si="146">J588+I588</f>
        <v>58874.854390590001</v>
      </c>
    </row>
    <row r="589" spans="1:11" s="72" customFormat="1" ht="30" customHeight="1" x14ac:dyDescent="0.25">
      <c r="A589" s="74" t="s">
        <v>692</v>
      </c>
      <c r="B589" s="75" t="s">
        <v>633</v>
      </c>
      <c r="C589" s="76" t="s">
        <v>634</v>
      </c>
      <c r="D589" s="75" t="s">
        <v>9</v>
      </c>
      <c r="E589" s="77">
        <v>331.76</v>
      </c>
      <c r="F589" s="45">
        <f>(25.71+0.01)</f>
        <v>25.720000000000002</v>
      </c>
      <c r="G589" s="45">
        <v>14.06</v>
      </c>
      <c r="H589" s="46"/>
      <c r="I589" s="13">
        <f t="shared" si="139"/>
        <v>31.993108000000003</v>
      </c>
      <c r="J589" s="14">
        <f t="shared" si="140"/>
        <v>17.489234</v>
      </c>
      <c r="K589" s="14"/>
    </row>
    <row r="590" spans="1:11" s="72" customFormat="1" ht="30" customHeight="1" x14ac:dyDescent="0.25">
      <c r="A590" s="78"/>
      <c r="B590" s="75"/>
      <c r="C590" s="76"/>
      <c r="D590" s="75"/>
      <c r="E590" s="77"/>
      <c r="F590" s="14">
        <f>E589*F589</f>
        <v>8532.8672000000006</v>
      </c>
      <c r="G590" s="14">
        <f>E589*G589</f>
        <v>4664.5456000000004</v>
      </c>
      <c r="H590" s="14">
        <f>SUM(F590,G590)</f>
        <v>13197.412800000002</v>
      </c>
      <c r="I590" s="13">
        <f t="shared" si="139"/>
        <v>10614.03351008</v>
      </c>
      <c r="J590" s="14">
        <f t="shared" si="140"/>
        <v>5802.2282718400002</v>
      </c>
      <c r="K590" s="14">
        <f t="shared" ref="K590" si="147">J590+I590</f>
        <v>16416.261781920002</v>
      </c>
    </row>
    <row r="591" spans="1:11" s="72" customFormat="1" ht="30" customHeight="1" x14ac:dyDescent="0.25">
      <c r="A591" s="74" t="s">
        <v>694</v>
      </c>
      <c r="B591" s="78" t="s">
        <v>80</v>
      </c>
      <c r="C591" s="76" t="s">
        <v>635</v>
      </c>
      <c r="D591" s="78" t="s">
        <v>9</v>
      </c>
      <c r="E591" s="77">
        <v>140.69999999999999</v>
      </c>
      <c r="F591" s="45">
        <v>103.05</v>
      </c>
      <c r="G591" s="45">
        <v>25.09</v>
      </c>
      <c r="H591" s="46"/>
      <c r="I591" s="13">
        <f t="shared" si="139"/>
        <v>128.18389500000001</v>
      </c>
      <c r="J591" s="14">
        <f t="shared" si="140"/>
        <v>31.209451000000001</v>
      </c>
      <c r="K591" s="14"/>
    </row>
    <row r="592" spans="1:11" s="72" customFormat="1" ht="30" customHeight="1" x14ac:dyDescent="0.25">
      <c r="A592" s="78"/>
      <c r="B592" s="78"/>
      <c r="C592" s="76"/>
      <c r="D592" s="78"/>
      <c r="E592" s="77"/>
      <c r="F592" s="14">
        <f>E591*F591</f>
        <v>14499.134999999998</v>
      </c>
      <c r="G592" s="14">
        <f>E591*G591</f>
        <v>3530.1629999999996</v>
      </c>
      <c r="H592" s="14">
        <f>SUM(F592,G592)</f>
        <v>18029.297999999999</v>
      </c>
      <c r="I592" s="13">
        <f t="shared" si="139"/>
        <v>18035.474026499996</v>
      </c>
      <c r="J592" s="14">
        <f t="shared" si="140"/>
        <v>4391.1697556999998</v>
      </c>
      <c r="K592" s="14">
        <f t="shared" ref="K592" si="148">J592+I592</f>
        <v>22426.643782199997</v>
      </c>
    </row>
    <row r="593" spans="1:11" s="72" customFormat="1" ht="30" customHeight="1" x14ac:dyDescent="0.25">
      <c r="A593" s="74" t="s">
        <v>696</v>
      </c>
      <c r="B593" s="75" t="s">
        <v>636</v>
      </c>
      <c r="C593" s="76" t="s">
        <v>634</v>
      </c>
      <c r="D593" s="75" t="s">
        <v>9</v>
      </c>
      <c r="E593" s="77">
        <v>109.04</v>
      </c>
      <c r="F593" s="45">
        <f>(25.71+0.01)</f>
        <v>25.720000000000002</v>
      </c>
      <c r="G593" s="45">
        <v>14.06</v>
      </c>
      <c r="H593" s="46"/>
      <c r="I593" s="13">
        <f t="shared" si="139"/>
        <v>31.993108000000003</v>
      </c>
      <c r="J593" s="14">
        <f t="shared" si="140"/>
        <v>17.489234</v>
      </c>
      <c r="K593" s="14"/>
    </row>
    <row r="594" spans="1:11" s="72" customFormat="1" ht="19.5" customHeight="1" x14ac:dyDescent="0.25">
      <c r="A594" s="78"/>
      <c r="B594" s="78"/>
      <c r="C594" s="76"/>
      <c r="D594" s="78"/>
      <c r="E594" s="77"/>
      <c r="F594" s="14">
        <f>E593*F593</f>
        <v>2804.5088000000005</v>
      </c>
      <c r="G594" s="14">
        <f>E593*G593</f>
        <v>1533.1024000000002</v>
      </c>
      <c r="H594" s="14">
        <f t="shared" ref="H594:H596" si="149">SUM(F594,G594)</f>
        <v>4337.6112000000012</v>
      </c>
      <c r="I594" s="13">
        <f t="shared" si="139"/>
        <v>3488.5284963200006</v>
      </c>
      <c r="J594" s="14">
        <f t="shared" si="140"/>
        <v>1907.0260753600003</v>
      </c>
      <c r="K594" s="14">
        <f t="shared" ref="K594" si="150">J594+I594</f>
        <v>5395.5545716800007</v>
      </c>
    </row>
    <row r="595" spans="1:11" s="72" customFormat="1" ht="19.5" customHeight="1" x14ac:dyDescent="0.25">
      <c r="A595" s="74" t="s">
        <v>698</v>
      </c>
      <c r="B595" s="78" t="s">
        <v>637</v>
      </c>
      <c r="C595" s="76" t="s">
        <v>638</v>
      </c>
      <c r="D595" s="78" t="s">
        <v>9</v>
      </c>
      <c r="E595" s="77">
        <v>83.42</v>
      </c>
      <c r="F595" s="14">
        <f>(0.06+55.31+0.06)</f>
        <v>55.430000000000007</v>
      </c>
      <c r="G595" s="37">
        <v>19.62</v>
      </c>
      <c r="H595" s="14"/>
      <c r="I595" s="13">
        <f t="shared" si="139"/>
        <v>68.949377000000013</v>
      </c>
      <c r="J595" s="14">
        <f t="shared" si="140"/>
        <v>24.405318000000001</v>
      </c>
      <c r="K595" s="14"/>
    </row>
    <row r="596" spans="1:11" s="72" customFormat="1" ht="15.75" customHeight="1" x14ac:dyDescent="0.25">
      <c r="A596" s="78"/>
      <c r="B596" s="9"/>
      <c r="C596" s="10"/>
      <c r="D596" s="16"/>
      <c r="E596" s="17"/>
      <c r="F596" s="14">
        <f>E595*F595</f>
        <v>4623.9706000000006</v>
      </c>
      <c r="G596" s="14">
        <f>E595*G595</f>
        <v>1636.7004000000002</v>
      </c>
      <c r="H596" s="14">
        <f t="shared" si="149"/>
        <v>6260.6710000000003</v>
      </c>
      <c r="I596" s="13">
        <f t="shared" si="139"/>
        <v>5751.7570293400004</v>
      </c>
      <c r="J596" s="14">
        <f t="shared" si="140"/>
        <v>2035.8916275600002</v>
      </c>
      <c r="K596" s="14">
        <f t="shared" ref="K596" si="151">J596+I596</f>
        <v>7787.6486569000008</v>
      </c>
    </row>
    <row r="597" spans="1:11" s="72" customFormat="1" ht="15.75" customHeight="1" x14ac:dyDescent="0.25">
      <c r="A597" s="9"/>
      <c r="B597" s="9"/>
      <c r="C597" s="52"/>
      <c r="D597" s="16"/>
      <c r="E597" s="17"/>
      <c r="F597" s="14"/>
      <c r="G597" s="14"/>
      <c r="H597" s="14"/>
      <c r="I597" s="14"/>
      <c r="J597" s="14"/>
      <c r="K597" s="14"/>
    </row>
    <row r="598" spans="1:11" s="72" customFormat="1" ht="15.75" customHeight="1" x14ac:dyDescent="0.25">
      <c r="A598" s="9"/>
      <c r="B598" s="9"/>
      <c r="C598" s="52" t="s">
        <v>639</v>
      </c>
      <c r="D598" s="16"/>
      <c r="E598" s="17"/>
      <c r="F598" s="14">
        <f t="shared" ref="F598:J598" si="152">F596+F594+F592+F590+F588+F586+F584+F582+F580+F578+F576+F574+F572</f>
        <v>77135.678899999999</v>
      </c>
      <c r="G598" s="14">
        <f t="shared" si="152"/>
        <v>43365.170300000005</v>
      </c>
      <c r="H598" s="14">
        <f>SUM(F598,G598)</f>
        <v>120500.8492</v>
      </c>
      <c r="I598" s="14">
        <f t="shared" si="152"/>
        <v>95949.070983710015</v>
      </c>
      <c r="J598" s="14">
        <f t="shared" si="152"/>
        <v>53941.935336169998</v>
      </c>
      <c r="K598" s="14">
        <f>SUM(I598,J598)</f>
        <v>149891.00631988002</v>
      </c>
    </row>
    <row r="599" spans="1:11" s="72" customFormat="1" ht="15.75" customHeight="1" x14ac:dyDescent="0.25">
      <c r="A599" s="9"/>
      <c r="B599" s="9"/>
      <c r="C599" s="21"/>
      <c r="D599" s="16"/>
      <c r="E599" s="17"/>
      <c r="F599" s="14"/>
      <c r="G599" s="14"/>
      <c r="H599" s="14"/>
      <c r="I599" s="14"/>
      <c r="J599" s="14"/>
      <c r="K599" s="14"/>
    </row>
    <row r="600" spans="1:11" s="72" customFormat="1" ht="15.75" customHeight="1" x14ac:dyDescent="0.25">
      <c r="A600" s="53" t="s">
        <v>617</v>
      </c>
      <c r="B600" s="49"/>
      <c r="C600" s="34" t="s">
        <v>641</v>
      </c>
      <c r="D600" s="24"/>
      <c r="E600" s="22"/>
      <c r="F600" s="8"/>
      <c r="G600" s="8"/>
      <c r="H600" s="8"/>
      <c r="I600" s="8"/>
      <c r="J600" s="8"/>
      <c r="K600" s="8"/>
    </row>
    <row r="601" spans="1:11" s="72" customFormat="1" ht="19.5" customHeight="1" x14ac:dyDescent="0.25">
      <c r="A601" s="74" t="s">
        <v>853</v>
      </c>
      <c r="B601" s="78" t="s">
        <v>48</v>
      </c>
      <c r="C601" s="76" t="s">
        <v>642</v>
      </c>
      <c r="D601" s="75" t="s">
        <v>9</v>
      </c>
      <c r="E601" s="77">
        <v>995.55</v>
      </c>
      <c r="F601" s="45">
        <f>39.02*0.8</f>
        <v>31.216000000000005</v>
      </c>
      <c r="G601" s="45">
        <f>39.02*0.2</f>
        <v>7.8040000000000012</v>
      </c>
      <c r="H601" s="46"/>
      <c r="I601" s="13">
        <f t="shared" ref="I601:I612" si="153">F601*1.2439</f>
        <v>38.829582400000007</v>
      </c>
      <c r="J601" s="14">
        <f t="shared" ref="J601:J612" si="154">G601*1.2439</f>
        <v>9.7073956000000017</v>
      </c>
      <c r="K601" s="14"/>
    </row>
    <row r="602" spans="1:11" s="72" customFormat="1" ht="19.5" customHeight="1" x14ac:dyDescent="0.25">
      <c r="A602" s="78"/>
      <c r="B602" s="78"/>
      <c r="C602" s="76"/>
      <c r="D602" s="75"/>
      <c r="E602" s="77"/>
      <c r="F602" s="14">
        <f>E601*F601</f>
        <v>31077.088800000005</v>
      </c>
      <c r="G602" s="14">
        <f>E601*G601</f>
        <v>7769.2722000000012</v>
      </c>
      <c r="H602" s="14">
        <f>SUM(F602,G602)</f>
        <v>38846.361000000004</v>
      </c>
      <c r="I602" s="13">
        <f t="shared" si="153"/>
        <v>38656.790758320007</v>
      </c>
      <c r="J602" s="14">
        <f t="shared" si="154"/>
        <v>9664.1976895800017</v>
      </c>
      <c r="K602" s="14">
        <f t="shared" ref="K602" si="155">J602+I602</f>
        <v>48320.98844790001</v>
      </c>
    </row>
    <row r="603" spans="1:11" s="72" customFormat="1" ht="19.5" customHeight="1" x14ac:dyDescent="0.25">
      <c r="A603" s="74" t="s">
        <v>854</v>
      </c>
      <c r="B603" s="78" t="s">
        <v>643</v>
      </c>
      <c r="C603" s="76" t="s">
        <v>644</v>
      </c>
      <c r="D603" s="75" t="s">
        <v>24</v>
      </c>
      <c r="E603" s="77">
        <v>37.64</v>
      </c>
      <c r="F603" s="45">
        <v>14.78</v>
      </c>
      <c r="G603" s="45">
        <v>3</v>
      </c>
      <c r="H603" s="46"/>
      <c r="I603" s="13">
        <f t="shared" si="153"/>
        <v>18.384841999999999</v>
      </c>
      <c r="J603" s="14">
        <f t="shared" si="154"/>
        <v>3.7317</v>
      </c>
      <c r="K603" s="14"/>
    </row>
    <row r="604" spans="1:11" s="72" customFormat="1" ht="19.5" customHeight="1" x14ac:dyDescent="0.25">
      <c r="A604" s="78"/>
      <c r="B604" s="78"/>
      <c r="C604" s="76"/>
      <c r="D604" s="75"/>
      <c r="E604" s="77"/>
      <c r="F604" s="14">
        <f>E603*F603</f>
        <v>556.31920000000002</v>
      </c>
      <c r="G604" s="14">
        <f>E603*G603</f>
        <v>112.92</v>
      </c>
      <c r="H604" s="14">
        <f>SUM(F604,G604)</f>
        <v>669.23919999999998</v>
      </c>
      <c r="I604" s="13">
        <f t="shared" si="153"/>
        <v>692.00545288000001</v>
      </c>
      <c r="J604" s="14">
        <f t="shared" si="154"/>
        <v>140.46118799999999</v>
      </c>
      <c r="K604" s="14">
        <f t="shared" ref="K604" si="156">J604+I604</f>
        <v>832.46664088</v>
      </c>
    </row>
    <row r="605" spans="1:11" s="72" customFormat="1" ht="19.5" customHeight="1" x14ac:dyDescent="0.25">
      <c r="A605" s="74" t="s">
        <v>855</v>
      </c>
      <c r="B605" s="78" t="s">
        <v>48</v>
      </c>
      <c r="C605" s="76" t="s">
        <v>645</v>
      </c>
      <c r="D605" s="75" t="s">
        <v>9</v>
      </c>
      <c r="E605" s="77">
        <v>296.02</v>
      </c>
      <c r="F605" s="45">
        <v>22.42</v>
      </c>
      <c r="G605" s="45">
        <v>3</v>
      </c>
      <c r="H605" s="46"/>
      <c r="I605" s="13">
        <f t="shared" si="153"/>
        <v>27.888238000000001</v>
      </c>
      <c r="J605" s="14">
        <f t="shared" si="154"/>
        <v>3.7317</v>
      </c>
      <c r="K605" s="14"/>
    </row>
    <row r="606" spans="1:11" s="72" customFormat="1" ht="19.5" customHeight="1" x14ac:dyDescent="0.25">
      <c r="A606" s="78"/>
      <c r="B606" s="78"/>
      <c r="C606" s="76"/>
      <c r="D606" s="75"/>
      <c r="E606" s="77"/>
      <c r="F606" s="14">
        <f>E605*F605</f>
        <v>6636.7683999999999</v>
      </c>
      <c r="G606" s="14">
        <f>E605*G605</f>
        <v>888.06</v>
      </c>
      <c r="H606" s="14">
        <f>SUM(F606,G606)</f>
        <v>7524.8284000000003</v>
      </c>
      <c r="I606" s="13">
        <f t="shared" si="153"/>
        <v>8255.4762127600006</v>
      </c>
      <c r="J606" s="14">
        <f t="shared" si="154"/>
        <v>1104.6578339999999</v>
      </c>
      <c r="K606" s="14">
        <f t="shared" ref="K606" si="157">J606+I606</f>
        <v>9360.1340467600003</v>
      </c>
    </row>
    <row r="607" spans="1:11" s="72" customFormat="1" ht="19.5" customHeight="1" x14ac:dyDescent="0.25">
      <c r="A607" s="74" t="s">
        <v>856</v>
      </c>
      <c r="B607" s="78" t="s">
        <v>48</v>
      </c>
      <c r="C607" s="76" t="s">
        <v>646</v>
      </c>
      <c r="D607" s="75" t="s">
        <v>9</v>
      </c>
      <c r="E607" s="77">
        <v>28.56</v>
      </c>
      <c r="F607" s="45">
        <f>52.98*0.8</f>
        <v>42.384</v>
      </c>
      <c r="G607" s="45">
        <f>52.98*0.2</f>
        <v>10.596</v>
      </c>
      <c r="H607" s="46"/>
      <c r="I607" s="13">
        <f t="shared" si="153"/>
        <v>52.721457600000001</v>
      </c>
      <c r="J607" s="14">
        <f t="shared" si="154"/>
        <v>13.1803644</v>
      </c>
      <c r="K607" s="14"/>
    </row>
    <row r="608" spans="1:11" s="72" customFormat="1" ht="19.5" customHeight="1" x14ac:dyDescent="0.25">
      <c r="A608" s="78"/>
      <c r="B608" s="78"/>
      <c r="C608" s="76"/>
      <c r="D608" s="75"/>
      <c r="E608" s="77"/>
      <c r="F608" s="14">
        <f>E607*F607</f>
        <v>1210.48704</v>
      </c>
      <c r="G608" s="14">
        <f>E607*G607</f>
        <v>302.62175999999999</v>
      </c>
      <c r="H608" s="14">
        <f>SUM(F608,G608)</f>
        <v>1513.1088</v>
      </c>
      <c r="I608" s="13">
        <f t="shared" si="153"/>
        <v>1505.7248290560001</v>
      </c>
      <c r="J608" s="14">
        <f t="shared" si="154"/>
        <v>376.43120726400002</v>
      </c>
      <c r="K608" s="14">
        <f t="shared" ref="K608" si="158">J608+I608</f>
        <v>1882.1560363200001</v>
      </c>
    </row>
    <row r="609" spans="1:11" s="72" customFormat="1" ht="19.5" customHeight="1" x14ac:dyDescent="0.25">
      <c r="A609" s="74" t="s">
        <v>857</v>
      </c>
      <c r="B609" s="75" t="s">
        <v>647</v>
      </c>
      <c r="C609" s="76" t="s">
        <v>648</v>
      </c>
      <c r="D609" s="75" t="s">
        <v>24</v>
      </c>
      <c r="E609" s="77">
        <v>75.28</v>
      </c>
      <c r="F609" s="45">
        <v>32.93</v>
      </c>
      <c r="G609" s="45">
        <v>4.9800000000000004</v>
      </c>
      <c r="H609" s="46"/>
      <c r="I609" s="13">
        <f t="shared" si="153"/>
        <v>40.961627</v>
      </c>
      <c r="J609" s="14">
        <f t="shared" si="154"/>
        <v>6.1946220000000007</v>
      </c>
      <c r="K609" s="14"/>
    </row>
    <row r="610" spans="1:11" s="72" customFormat="1" ht="19.5" customHeight="1" x14ac:dyDescent="0.25">
      <c r="A610" s="78"/>
      <c r="B610" s="75"/>
      <c r="C610" s="76"/>
      <c r="D610" s="82"/>
      <c r="E610" s="77"/>
      <c r="F610" s="14">
        <f>E609*F609</f>
        <v>2478.9704000000002</v>
      </c>
      <c r="G610" s="14">
        <f>E609*G609</f>
        <v>374.89440000000002</v>
      </c>
      <c r="H610" s="14">
        <f>SUM(F610,G610)</f>
        <v>2853.8648000000003</v>
      </c>
      <c r="I610" s="13">
        <f t="shared" si="153"/>
        <v>3083.5912805600001</v>
      </c>
      <c r="J610" s="14">
        <f t="shared" si="154"/>
        <v>466.33114416000001</v>
      </c>
      <c r="K610" s="14">
        <f t="shared" ref="K610" si="159">J610+I610</f>
        <v>3549.92242472</v>
      </c>
    </row>
    <row r="611" spans="1:11" s="72" customFormat="1" ht="19.5" customHeight="1" x14ac:dyDescent="0.25">
      <c r="A611" s="74" t="s">
        <v>858</v>
      </c>
      <c r="B611" s="78" t="s">
        <v>649</v>
      </c>
      <c r="C611" s="76" t="s">
        <v>650</v>
      </c>
      <c r="D611" s="82" t="s">
        <v>66</v>
      </c>
      <c r="E611" s="77">
        <v>22594.799999999999</v>
      </c>
      <c r="F611" s="45">
        <v>6.58</v>
      </c>
      <c r="G611" s="45">
        <v>1.31</v>
      </c>
      <c r="H611" s="46"/>
      <c r="I611" s="13">
        <f t="shared" si="153"/>
        <v>8.1848620000000007</v>
      </c>
      <c r="J611" s="14">
        <f t="shared" si="154"/>
        <v>1.6295090000000001</v>
      </c>
      <c r="K611" s="14"/>
    </row>
    <row r="612" spans="1:11" s="72" customFormat="1" ht="15.75" customHeight="1" x14ac:dyDescent="0.25">
      <c r="A612" s="78"/>
      <c r="B612" s="9"/>
      <c r="C612" s="10"/>
      <c r="D612" s="16"/>
      <c r="E612" s="17"/>
      <c r="F612" s="14">
        <f>E611*F611</f>
        <v>148673.78399999999</v>
      </c>
      <c r="G612" s="14">
        <f>E611*G611</f>
        <v>29599.188000000002</v>
      </c>
      <c r="H612" s="14">
        <f>SUM(F612,G612)</f>
        <v>178272.97199999998</v>
      </c>
      <c r="I612" s="13">
        <f t="shared" si="153"/>
        <v>184935.31991759999</v>
      </c>
      <c r="J612" s="14">
        <f t="shared" si="154"/>
        <v>36818.4299532</v>
      </c>
      <c r="K612" s="14">
        <f t="shared" ref="K612" si="160">J612+I612</f>
        <v>221753.74987080001</v>
      </c>
    </row>
    <row r="613" spans="1:11" s="72" customFormat="1" ht="15.75" customHeight="1" x14ac:dyDescent="0.25">
      <c r="A613" s="9"/>
      <c r="B613" s="9"/>
      <c r="C613" s="52"/>
      <c r="D613" s="16"/>
      <c r="E613" s="17"/>
      <c r="F613" s="14"/>
      <c r="G613" s="14"/>
      <c r="H613" s="14"/>
      <c r="I613" s="14"/>
      <c r="J613" s="14"/>
      <c r="K613" s="14"/>
    </row>
    <row r="614" spans="1:11" s="72" customFormat="1" ht="15.75" customHeight="1" x14ac:dyDescent="0.25">
      <c r="A614" s="9"/>
      <c r="B614" s="9"/>
      <c r="C614" s="52" t="s">
        <v>651</v>
      </c>
      <c r="D614" s="16"/>
      <c r="E614" s="17"/>
      <c r="F614" s="14">
        <f t="shared" ref="F614:J614" si="161">F612+F610+F608+F606+F604+F602</f>
        <v>190633.41783999998</v>
      </c>
      <c r="G614" s="14">
        <f t="shared" si="161"/>
        <v>39046.956360000004</v>
      </c>
      <c r="H614" s="14">
        <f>SUM(F614,G614)</f>
        <v>229680.37419999999</v>
      </c>
      <c r="I614" s="14">
        <f t="shared" si="161"/>
        <v>237128.90845117602</v>
      </c>
      <c r="J614" s="14">
        <f t="shared" si="161"/>
        <v>48570.509016204007</v>
      </c>
      <c r="K614" s="14">
        <f>SUM(I614,J614)</f>
        <v>285699.41746738</v>
      </c>
    </row>
    <row r="615" spans="1:11" s="72" customFormat="1" ht="15.75" customHeight="1" x14ac:dyDescent="0.25">
      <c r="A615" s="9"/>
      <c r="B615" s="9"/>
      <c r="C615" s="21"/>
      <c r="D615" s="16"/>
      <c r="E615" s="17"/>
      <c r="F615" s="14"/>
      <c r="G615" s="14"/>
      <c r="H615" s="14"/>
      <c r="I615" s="14"/>
      <c r="J615" s="14"/>
      <c r="K615" s="14"/>
    </row>
    <row r="616" spans="1:11" s="72" customFormat="1" ht="15.75" customHeight="1" x14ac:dyDescent="0.25">
      <c r="A616" s="53" t="s">
        <v>640</v>
      </c>
      <c r="B616" s="49"/>
      <c r="C616" s="34" t="s">
        <v>653</v>
      </c>
      <c r="D616" s="24"/>
      <c r="E616" s="22"/>
      <c r="F616" s="8"/>
      <c r="G616" s="8"/>
      <c r="H616" s="8"/>
      <c r="I616" s="8"/>
      <c r="J616" s="8"/>
      <c r="K616" s="8"/>
    </row>
    <row r="617" spans="1:11" s="72" customFormat="1" ht="19.5" customHeight="1" x14ac:dyDescent="0.25">
      <c r="A617" s="79" t="s">
        <v>859</v>
      </c>
      <c r="B617" s="78" t="s">
        <v>127</v>
      </c>
      <c r="C617" s="76" t="s">
        <v>654</v>
      </c>
      <c r="D617" s="83" t="s">
        <v>9</v>
      </c>
      <c r="E617" s="77">
        <v>137.4</v>
      </c>
      <c r="F617" s="45">
        <v>5.48</v>
      </c>
      <c r="G617" s="45">
        <v>5.0999999999999996</v>
      </c>
      <c r="H617" s="46"/>
      <c r="I617" s="13">
        <f t="shared" ref="I617:I618" si="162">F617*1.2439</f>
        <v>6.8165720000000007</v>
      </c>
      <c r="J617" s="14">
        <f t="shared" ref="J617:J618" si="163">G617*1.2439</f>
        <v>6.34389</v>
      </c>
      <c r="K617" s="14"/>
    </row>
    <row r="618" spans="1:11" s="72" customFormat="1" ht="15.75" customHeight="1" x14ac:dyDescent="0.25">
      <c r="A618" s="9"/>
      <c r="B618" s="9"/>
      <c r="C618" s="10"/>
      <c r="D618" s="16"/>
      <c r="E618" s="17"/>
      <c r="F618" s="14">
        <f>E617*F617</f>
        <v>752.95200000000011</v>
      </c>
      <c r="G618" s="14">
        <f>E617*G617</f>
        <v>700.74</v>
      </c>
      <c r="H618" s="14">
        <f>SUM(F618,G618)</f>
        <v>1453.692</v>
      </c>
      <c r="I618" s="13">
        <f t="shared" si="162"/>
        <v>936.59699280000018</v>
      </c>
      <c r="J618" s="14">
        <f t="shared" si="163"/>
        <v>871.650486</v>
      </c>
      <c r="K618" s="14">
        <f t="shared" ref="K618" si="164">J618+I618</f>
        <v>1808.2474788000002</v>
      </c>
    </row>
    <row r="619" spans="1:11" s="72" customFormat="1" ht="15.75" customHeight="1" x14ac:dyDescent="0.25">
      <c r="A619" s="9"/>
      <c r="B619" s="9"/>
      <c r="C619" s="10"/>
      <c r="D619" s="16"/>
      <c r="E619" s="17"/>
      <c r="F619" s="14"/>
      <c r="G619" s="14"/>
      <c r="H619" s="14"/>
      <c r="I619" s="14"/>
      <c r="J619" s="14"/>
      <c r="K619" s="14"/>
    </row>
    <row r="620" spans="1:11" s="72" customFormat="1" ht="15.75" customHeight="1" x14ac:dyDescent="0.25">
      <c r="A620" s="9"/>
      <c r="B620" s="9"/>
      <c r="C620" s="52" t="s">
        <v>655</v>
      </c>
      <c r="D620" s="16"/>
      <c r="E620" s="17"/>
      <c r="F620" s="14">
        <f t="shared" ref="F620:J620" si="165">F618</f>
        <v>752.95200000000011</v>
      </c>
      <c r="G620" s="14">
        <f t="shared" si="165"/>
        <v>700.74</v>
      </c>
      <c r="H620" s="14">
        <f>SUM(F620,G620)</f>
        <v>1453.692</v>
      </c>
      <c r="I620" s="14">
        <f t="shared" si="165"/>
        <v>936.59699280000018</v>
      </c>
      <c r="J620" s="14">
        <f t="shared" si="165"/>
        <v>871.650486</v>
      </c>
      <c r="K620" s="14">
        <f>SUM(I620,J620)</f>
        <v>1808.2474788000002</v>
      </c>
    </row>
    <row r="621" spans="1:11" s="72" customFormat="1" ht="15.75" customHeight="1" x14ac:dyDescent="0.25">
      <c r="A621" s="9"/>
      <c r="B621" s="9"/>
      <c r="C621" s="21"/>
      <c r="D621" s="16"/>
      <c r="E621" s="17"/>
      <c r="F621" s="14"/>
      <c r="G621" s="14"/>
      <c r="H621" s="14"/>
      <c r="I621" s="14"/>
      <c r="J621" s="14"/>
      <c r="K621" s="14"/>
    </row>
    <row r="622" spans="1:11" s="72" customFormat="1" ht="15.75" customHeight="1" x14ac:dyDescent="0.25">
      <c r="A622" s="53" t="s">
        <v>652</v>
      </c>
      <c r="B622" s="49"/>
      <c r="C622" s="34" t="s">
        <v>657</v>
      </c>
      <c r="D622" s="24"/>
      <c r="E622" s="22"/>
      <c r="F622" s="8"/>
      <c r="G622" s="8"/>
      <c r="H622" s="8"/>
      <c r="I622" s="8"/>
      <c r="J622" s="8"/>
      <c r="K622" s="8"/>
    </row>
    <row r="623" spans="1:11" s="72" customFormat="1" ht="19.5" customHeight="1" x14ac:dyDescent="0.25">
      <c r="A623" s="74" t="s">
        <v>860</v>
      </c>
      <c r="B623" s="78" t="s">
        <v>658</v>
      </c>
      <c r="C623" s="84" t="s">
        <v>659</v>
      </c>
      <c r="D623" s="82" t="s">
        <v>9</v>
      </c>
      <c r="E623" s="77">
        <v>670.52</v>
      </c>
      <c r="F623" s="45">
        <v>1.82</v>
      </c>
      <c r="G623" s="45">
        <v>1.85</v>
      </c>
      <c r="H623" s="46"/>
      <c r="I623" s="13">
        <f t="shared" ref="I623:I628" si="166">F623*1.2439</f>
        <v>2.2638980000000002</v>
      </c>
      <c r="J623" s="14">
        <f t="shared" ref="J623:J628" si="167">G623*1.2439</f>
        <v>2.301215</v>
      </c>
      <c r="K623" s="14"/>
    </row>
    <row r="624" spans="1:11" s="72" customFormat="1" ht="19.5" customHeight="1" x14ac:dyDescent="0.25">
      <c r="A624" s="78"/>
      <c r="B624" s="78"/>
      <c r="C624" s="84"/>
      <c r="D624" s="82"/>
      <c r="E624" s="77"/>
      <c r="F624" s="14">
        <f>E623*F623</f>
        <v>1220.3463999999999</v>
      </c>
      <c r="G624" s="14">
        <f>E623*G623</f>
        <v>1240.462</v>
      </c>
      <c r="H624" s="14">
        <f>SUM(F624,G624)</f>
        <v>2460.8083999999999</v>
      </c>
      <c r="I624" s="13">
        <f t="shared" si="166"/>
        <v>1517.9888869599999</v>
      </c>
      <c r="J624" s="14">
        <f t="shared" si="167"/>
        <v>1543.0106817999999</v>
      </c>
      <c r="K624" s="14">
        <f t="shared" ref="K624" si="168">J624+I624</f>
        <v>3060.9995687599999</v>
      </c>
    </row>
    <row r="625" spans="1:11" s="72" customFormat="1" ht="30" customHeight="1" x14ac:dyDescent="0.25">
      <c r="A625" s="74" t="s">
        <v>861</v>
      </c>
      <c r="B625" s="78" t="s">
        <v>660</v>
      </c>
      <c r="C625" s="76" t="s">
        <v>661</v>
      </c>
      <c r="D625" s="75" t="s">
        <v>9</v>
      </c>
      <c r="E625" s="77">
        <v>670.52</v>
      </c>
      <c r="F625" s="45">
        <f>(0.02+14.09+0.04)</f>
        <v>14.149999999999999</v>
      </c>
      <c r="G625" s="45">
        <v>9.39</v>
      </c>
      <c r="H625" s="46"/>
      <c r="I625" s="13">
        <f t="shared" si="166"/>
        <v>17.601184999999997</v>
      </c>
      <c r="J625" s="14">
        <f t="shared" si="167"/>
        <v>11.680221000000001</v>
      </c>
      <c r="K625" s="14"/>
    </row>
    <row r="626" spans="1:11" s="72" customFormat="1" ht="30" customHeight="1" x14ac:dyDescent="0.25">
      <c r="A626" s="78"/>
      <c r="B626" s="78"/>
      <c r="C626" s="76"/>
      <c r="D626" s="75"/>
      <c r="E626" s="77"/>
      <c r="F626" s="14">
        <f>E625*F625</f>
        <v>9487.8579999999984</v>
      </c>
      <c r="G626" s="14">
        <f>E625*G625</f>
        <v>6296.1828000000005</v>
      </c>
      <c r="H626" s="14">
        <f>SUM(F626,G626)</f>
        <v>15784.040799999999</v>
      </c>
      <c r="I626" s="13">
        <f t="shared" si="166"/>
        <v>11801.946566199998</v>
      </c>
      <c r="J626" s="14">
        <f t="shared" si="167"/>
        <v>7831.8217849200009</v>
      </c>
      <c r="K626" s="14">
        <f t="shared" ref="K626" si="169">J626+I626</f>
        <v>19633.768351120001</v>
      </c>
    </row>
    <row r="627" spans="1:11" s="72" customFormat="1" ht="19.5" customHeight="1" x14ac:dyDescent="0.25">
      <c r="A627" s="74" t="s">
        <v>862</v>
      </c>
      <c r="B627" s="78" t="s">
        <v>662</v>
      </c>
      <c r="C627" s="76" t="s">
        <v>663</v>
      </c>
      <c r="D627" s="75" t="s">
        <v>9</v>
      </c>
      <c r="E627" s="77">
        <v>670.52</v>
      </c>
      <c r="F627" s="45">
        <f>(0.2+9.81+0.03)</f>
        <v>10.039999999999999</v>
      </c>
      <c r="G627" s="45">
        <v>4.32</v>
      </c>
      <c r="H627" s="46"/>
      <c r="I627" s="13">
        <f t="shared" si="166"/>
        <v>12.488755999999999</v>
      </c>
      <c r="J627" s="14">
        <f t="shared" si="167"/>
        <v>5.3736480000000002</v>
      </c>
      <c r="K627" s="14"/>
    </row>
    <row r="628" spans="1:11" s="72" customFormat="1" ht="15.75" customHeight="1" x14ac:dyDescent="0.25">
      <c r="A628" s="9"/>
      <c r="B628" s="9"/>
      <c r="C628" s="10"/>
      <c r="D628" s="16"/>
      <c r="E628" s="17"/>
      <c r="F628" s="14">
        <f>E627*F627</f>
        <v>6732.0207999999993</v>
      </c>
      <c r="G628" s="14">
        <f>E627*G627</f>
        <v>2896.6464000000001</v>
      </c>
      <c r="H628" s="14">
        <f>SUM(F628,G628)</f>
        <v>9628.6671999999999</v>
      </c>
      <c r="I628" s="13">
        <f t="shared" si="166"/>
        <v>8373.9606731199983</v>
      </c>
      <c r="J628" s="14">
        <f t="shared" si="167"/>
        <v>3603.13845696</v>
      </c>
      <c r="K628" s="14">
        <f t="shared" ref="K628" si="170">J628+I628</f>
        <v>11977.099130079998</v>
      </c>
    </row>
    <row r="629" spans="1:11" s="72" customFormat="1" ht="15.75" customHeight="1" x14ac:dyDescent="0.25">
      <c r="A629" s="9"/>
      <c r="B629" s="9"/>
      <c r="C629" s="10"/>
      <c r="D629" s="16"/>
      <c r="E629" s="17"/>
      <c r="F629" s="14"/>
      <c r="G629" s="14"/>
      <c r="H629" s="14"/>
      <c r="I629" s="14"/>
      <c r="J629" s="14"/>
      <c r="K629" s="14"/>
    </row>
    <row r="630" spans="1:11" s="72" customFormat="1" ht="15.75" customHeight="1" x14ac:dyDescent="0.25">
      <c r="A630" s="9"/>
      <c r="B630" s="9"/>
      <c r="C630" s="52" t="s">
        <v>665</v>
      </c>
      <c r="D630" s="16"/>
      <c r="E630" s="17"/>
      <c r="F630" s="14">
        <f t="shared" ref="F630:J630" si="171">F628+F626+F624</f>
        <v>17440.225199999997</v>
      </c>
      <c r="G630" s="14">
        <f t="shared" si="171"/>
        <v>10433.2912</v>
      </c>
      <c r="H630" s="14">
        <f>SUM(F630,G630)</f>
        <v>27873.516399999997</v>
      </c>
      <c r="I630" s="14">
        <f t="shared" si="171"/>
        <v>21693.896126279997</v>
      </c>
      <c r="J630" s="14">
        <f t="shared" si="171"/>
        <v>12977.970923680001</v>
      </c>
      <c r="K630" s="14">
        <f>SUM(I630,J630)</f>
        <v>34671.867049959998</v>
      </c>
    </row>
    <row r="631" spans="1:11" s="72" customFormat="1" ht="15.75" customHeight="1" x14ac:dyDescent="0.25">
      <c r="A631" s="9"/>
      <c r="B631" s="9"/>
      <c r="C631" s="21"/>
      <c r="D631" s="16"/>
      <c r="E631" s="17"/>
      <c r="F631" s="14"/>
      <c r="G631" s="14"/>
      <c r="H631" s="14"/>
      <c r="I631" s="14"/>
      <c r="J631" s="14"/>
      <c r="K631" s="14"/>
    </row>
    <row r="632" spans="1:11" s="72" customFormat="1" ht="15.75" customHeight="1" x14ac:dyDescent="0.25">
      <c r="A632" s="53" t="s">
        <v>656</v>
      </c>
      <c r="B632" s="49"/>
      <c r="C632" s="34" t="s">
        <v>667</v>
      </c>
      <c r="D632" s="24"/>
      <c r="E632" s="22"/>
      <c r="F632" s="8"/>
      <c r="G632" s="8"/>
      <c r="H632" s="8"/>
      <c r="I632" s="8"/>
      <c r="J632" s="8"/>
      <c r="K632" s="8"/>
    </row>
    <row r="633" spans="1:11" s="72" customFormat="1" ht="19.5" customHeight="1" x14ac:dyDescent="0.25">
      <c r="A633" s="74" t="s">
        <v>863</v>
      </c>
      <c r="B633" s="78" t="s">
        <v>187</v>
      </c>
      <c r="C633" s="76" t="s">
        <v>669</v>
      </c>
      <c r="D633" s="75" t="s">
        <v>9</v>
      </c>
      <c r="E633" s="77">
        <v>670.52</v>
      </c>
      <c r="F633" s="45">
        <v>8.7100000000000009</v>
      </c>
      <c r="G633" s="45">
        <v>3.9</v>
      </c>
      <c r="H633" s="46"/>
      <c r="I633" s="13">
        <f t="shared" ref="I633:I636" si="172">F633*1.2439</f>
        <v>10.834369000000001</v>
      </c>
      <c r="J633" s="14">
        <f t="shared" ref="J633:J636" si="173">G633*1.2439</f>
        <v>4.85121</v>
      </c>
      <c r="K633" s="14"/>
    </row>
    <row r="634" spans="1:11" s="72" customFormat="1" ht="19.5" customHeight="1" x14ac:dyDescent="0.25">
      <c r="A634" s="78"/>
      <c r="B634" s="78"/>
      <c r="C634" s="76"/>
      <c r="D634" s="75"/>
      <c r="E634" s="77"/>
      <c r="F634" s="14">
        <f>E633*F633</f>
        <v>5840.2292000000007</v>
      </c>
      <c r="G634" s="14">
        <f>E633*G633</f>
        <v>2615.0279999999998</v>
      </c>
      <c r="H634" s="14">
        <f>SUM(F634,G634)</f>
        <v>8455.2572</v>
      </c>
      <c r="I634" s="13">
        <f t="shared" si="172"/>
        <v>7264.6611018800013</v>
      </c>
      <c r="J634" s="14">
        <f t="shared" si="173"/>
        <v>3252.8333291999998</v>
      </c>
      <c r="K634" s="14">
        <f t="shared" ref="K634" si="174">J634+I634</f>
        <v>10517.494431080002</v>
      </c>
    </row>
    <row r="635" spans="1:11" s="72" customFormat="1" ht="19.5" customHeight="1" x14ac:dyDescent="0.25">
      <c r="A635" s="74" t="s">
        <v>864</v>
      </c>
      <c r="B635" s="78" t="s">
        <v>670</v>
      </c>
      <c r="C635" s="76" t="s">
        <v>671</v>
      </c>
      <c r="D635" s="75" t="s">
        <v>9</v>
      </c>
      <c r="E635" s="77">
        <v>592.65</v>
      </c>
      <c r="F635" s="45">
        <v>34.770000000000003</v>
      </c>
      <c r="G635" s="45">
        <v>10.9</v>
      </c>
      <c r="H635" s="46"/>
      <c r="I635" s="13">
        <f t="shared" si="172"/>
        <v>43.250403000000006</v>
      </c>
      <c r="J635" s="14">
        <f t="shared" si="173"/>
        <v>13.55851</v>
      </c>
      <c r="K635" s="14"/>
    </row>
    <row r="636" spans="1:11" s="72" customFormat="1" ht="15.75" customHeight="1" x14ac:dyDescent="0.25">
      <c r="A636" s="9"/>
      <c r="B636" s="9"/>
      <c r="C636" s="10"/>
      <c r="D636" s="16"/>
      <c r="E636" s="17"/>
      <c r="F636" s="14">
        <f>E635*F635</f>
        <v>20606.440500000001</v>
      </c>
      <c r="G636" s="14">
        <f>E635*G635</f>
        <v>6459.8850000000002</v>
      </c>
      <c r="H636" s="14">
        <f>SUM(F636,G636)</f>
        <v>27066.325499999999</v>
      </c>
      <c r="I636" s="13">
        <f t="shared" si="172"/>
        <v>25632.35133795</v>
      </c>
      <c r="J636" s="14">
        <f t="shared" si="173"/>
        <v>8035.4509515</v>
      </c>
      <c r="K636" s="14">
        <f t="shared" ref="K636" si="175">J636+I636</f>
        <v>33667.802289450003</v>
      </c>
    </row>
    <row r="637" spans="1:11" s="72" customFormat="1" ht="15.75" customHeight="1" x14ac:dyDescent="0.25">
      <c r="A637" s="9"/>
      <c r="B637" s="9"/>
      <c r="C637" s="10"/>
      <c r="D637" s="16"/>
      <c r="E637" s="17"/>
      <c r="F637" s="14"/>
      <c r="G637" s="14"/>
      <c r="H637" s="14"/>
      <c r="I637" s="14"/>
      <c r="J637" s="14"/>
      <c r="K637" s="14"/>
    </row>
    <row r="638" spans="1:11" s="72" customFormat="1" ht="15.75" customHeight="1" x14ac:dyDescent="0.25">
      <c r="A638" s="9"/>
      <c r="B638" s="9"/>
      <c r="C638" s="52" t="s">
        <v>673</v>
      </c>
      <c r="D638" s="16"/>
      <c r="E638" s="17"/>
      <c r="F638" s="14">
        <f t="shared" ref="F638:J638" si="176">F636+F634</f>
        <v>26446.669700000002</v>
      </c>
      <c r="G638" s="14">
        <f t="shared" si="176"/>
        <v>9074.9130000000005</v>
      </c>
      <c r="H638" s="14">
        <f>SUM(F638,G638)</f>
        <v>35521.582699999999</v>
      </c>
      <c r="I638" s="14">
        <f t="shared" si="176"/>
        <v>32897.012439830003</v>
      </c>
      <c r="J638" s="14">
        <f t="shared" si="176"/>
        <v>11288.2842807</v>
      </c>
      <c r="K638" s="14">
        <f>SUM(I638,J638)</f>
        <v>44185.296720530001</v>
      </c>
    </row>
    <row r="639" spans="1:11" s="72" customFormat="1" ht="15.75" customHeight="1" x14ac:dyDescent="0.25">
      <c r="A639" s="9"/>
      <c r="B639" s="9"/>
      <c r="C639" s="21"/>
      <c r="D639" s="16"/>
      <c r="E639" s="17"/>
      <c r="F639" s="14"/>
      <c r="G639" s="14"/>
      <c r="H639" s="14"/>
      <c r="I639" s="14"/>
      <c r="J639" s="14"/>
      <c r="K639" s="14"/>
    </row>
    <row r="640" spans="1:11" s="72" customFormat="1" ht="15.75" customHeight="1" x14ac:dyDescent="0.25">
      <c r="A640" s="53" t="s">
        <v>666</v>
      </c>
      <c r="B640" s="49"/>
      <c r="C640" s="34" t="s">
        <v>676</v>
      </c>
      <c r="D640" s="24"/>
      <c r="E640" s="22"/>
      <c r="F640" s="8"/>
      <c r="G640" s="8"/>
      <c r="H640" s="8"/>
      <c r="I640" s="8"/>
      <c r="J640" s="8"/>
      <c r="K640" s="8"/>
    </row>
    <row r="641" spans="1:11" s="72" customFormat="1" ht="30" customHeight="1" x14ac:dyDescent="0.25">
      <c r="A641" s="74" t="s">
        <v>865</v>
      </c>
      <c r="B641" s="75" t="s">
        <v>677</v>
      </c>
      <c r="C641" s="76" t="s">
        <v>678</v>
      </c>
      <c r="D641" s="75" t="s">
        <v>679</v>
      </c>
      <c r="E641" s="77">
        <v>1</v>
      </c>
      <c r="F641" s="45">
        <v>266.2</v>
      </c>
      <c r="G641" s="45">
        <v>60.78</v>
      </c>
      <c r="H641" s="46"/>
      <c r="I641" s="13">
        <f t="shared" ref="I641:I644" si="177">F641*1.2439</f>
        <v>331.12617999999998</v>
      </c>
      <c r="J641" s="14">
        <f t="shared" ref="J641:J644" si="178">G641*1.2439</f>
        <v>75.604241999999999</v>
      </c>
      <c r="K641" s="14"/>
    </row>
    <row r="642" spans="1:11" s="72" customFormat="1" ht="30" customHeight="1" x14ac:dyDescent="0.25">
      <c r="A642" s="78"/>
      <c r="B642" s="75"/>
      <c r="C642" s="76"/>
      <c r="D642" s="75"/>
      <c r="E642" s="77"/>
      <c r="F642" s="14">
        <f>E641*F641</f>
        <v>266.2</v>
      </c>
      <c r="G642" s="14">
        <f>E641*G641</f>
        <v>60.78</v>
      </c>
      <c r="H642" s="14">
        <f>SUM(F642,G642)</f>
        <v>326.98</v>
      </c>
      <c r="I642" s="13">
        <f t="shared" si="177"/>
        <v>331.12617999999998</v>
      </c>
      <c r="J642" s="14">
        <f t="shared" si="178"/>
        <v>75.604241999999999</v>
      </c>
      <c r="K642" s="14">
        <f t="shared" ref="K642" si="179">J642+I642</f>
        <v>406.73042199999998</v>
      </c>
    </row>
    <row r="643" spans="1:11" s="72" customFormat="1" ht="19.5" customHeight="1" x14ac:dyDescent="0.25">
      <c r="A643" s="74" t="s">
        <v>866</v>
      </c>
      <c r="B643" s="85" t="s">
        <v>681</v>
      </c>
      <c r="C643" s="76" t="s">
        <v>683</v>
      </c>
      <c r="D643" s="75" t="s">
        <v>679</v>
      </c>
      <c r="E643" s="77">
        <v>2</v>
      </c>
      <c r="F643" s="45">
        <v>56.05</v>
      </c>
      <c r="G643" s="45">
        <v>8.2799999999999994</v>
      </c>
      <c r="H643" s="46"/>
      <c r="I643" s="13">
        <f t="shared" si="177"/>
        <v>69.720595000000003</v>
      </c>
      <c r="J643" s="14">
        <f t="shared" si="178"/>
        <v>10.299491999999999</v>
      </c>
      <c r="K643" s="14"/>
    </row>
    <row r="644" spans="1:11" s="72" customFormat="1" ht="19.5" customHeight="1" x14ac:dyDescent="0.25">
      <c r="A644" s="78"/>
      <c r="B644" s="85"/>
      <c r="C644" s="76"/>
      <c r="D644" s="75"/>
      <c r="E644" s="77"/>
      <c r="F644" s="14">
        <f>E643*F643</f>
        <v>112.1</v>
      </c>
      <c r="G644" s="14">
        <f>E643*G643</f>
        <v>16.559999999999999</v>
      </c>
      <c r="H644" s="14">
        <f>SUM(F644,G644)</f>
        <v>128.66</v>
      </c>
      <c r="I644" s="13">
        <f t="shared" si="177"/>
        <v>139.44119000000001</v>
      </c>
      <c r="J644" s="14">
        <f t="shared" si="178"/>
        <v>20.598983999999998</v>
      </c>
      <c r="K644" s="14">
        <f t="shared" ref="K644" si="180">J644+I644</f>
        <v>160.04017400000001</v>
      </c>
    </row>
    <row r="645" spans="1:11" s="72" customFormat="1" ht="19.5" customHeight="1" x14ac:dyDescent="0.25">
      <c r="A645" s="74" t="s">
        <v>867</v>
      </c>
      <c r="B645" s="78" t="s">
        <v>684</v>
      </c>
      <c r="C645" s="76" t="s">
        <v>685</v>
      </c>
      <c r="D645" s="75" t="s">
        <v>679</v>
      </c>
      <c r="E645" s="77">
        <v>3</v>
      </c>
      <c r="F645" s="45">
        <v>8.7100000000000009</v>
      </c>
      <c r="G645" s="45">
        <v>2</v>
      </c>
      <c r="H645" s="46"/>
      <c r="I645" s="13">
        <f t="shared" ref="I645:I660" si="181">F645*1.2439</f>
        <v>10.834369000000001</v>
      </c>
      <c r="J645" s="14">
        <f t="shared" ref="J645:J660" si="182">G645*1.2439</f>
        <v>2.4878</v>
      </c>
      <c r="K645" s="14"/>
    </row>
    <row r="646" spans="1:11" s="72" customFormat="1" ht="19.5" customHeight="1" x14ac:dyDescent="0.25">
      <c r="A646" s="78"/>
      <c r="B646" s="78"/>
      <c r="C646" s="76"/>
      <c r="D646" s="75"/>
      <c r="E646" s="77"/>
      <c r="F646" s="14">
        <f>E645*F645</f>
        <v>26.130000000000003</v>
      </c>
      <c r="G646" s="14">
        <f>E645*G645</f>
        <v>6</v>
      </c>
      <c r="H646" s="14">
        <f>SUM(F646,G646)</f>
        <v>32.130000000000003</v>
      </c>
      <c r="I646" s="13">
        <f t="shared" si="181"/>
        <v>32.503107</v>
      </c>
      <c r="J646" s="14">
        <f t="shared" si="182"/>
        <v>7.4634</v>
      </c>
      <c r="K646" s="14">
        <f t="shared" ref="K646" si="183">J646+I646</f>
        <v>39.966507</v>
      </c>
    </row>
    <row r="647" spans="1:11" s="72" customFormat="1" ht="30" x14ac:dyDescent="0.25">
      <c r="A647" s="74" t="s">
        <v>868</v>
      </c>
      <c r="B647" s="85" t="s">
        <v>687</v>
      </c>
      <c r="C647" s="76" t="s">
        <v>688</v>
      </c>
      <c r="D647" s="85" t="s">
        <v>24</v>
      </c>
      <c r="E647" s="77">
        <v>80</v>
      </c>
      <c r="F647" s="45">
        <v>4.45</v>
      </c>
      <c r="G647" s="45">
        <v>4</v>
      </c>
      <c r="H647" s="46"/>
      <c r="I647" s="13">
        <f t="shared" si="181"/>
        <v>5.535355</v>
      </c>
      <c r="J647" s="14">
        <f t="shared" si="182"/>
        <v>4.9756</v>
      </c>
      <c r="K647" s="14"/>
    </row>
    <row r="648" spans="1:11" s="72" customFormat="1" ht="19.5" customHeight="1" x14ac:dyDescent="0.25">
      <c r="A648" s="78"/>
      <c r="B648" s="85"/>
      <c r="C648" s="76"/>
      <c r="D648" s="85"/>
      <c r="E648" s="77"/>
      <c r="F648" s="14">
        <f>E647*F647</f>
        <v>356</v>
      </c>
      <c r="G648" s="14">
        <f>E647*G647</f>
        <v>320</v>
      </c>
      <c r="H648" s="14">
        <f>SUM(F648,G648)</f>
        <v>676</v>
      </c>
      <c r="I648" s="13">
        <f t="shared" si="181"/>
        <v>442.82839999999999</v>
      </c>
      <c r="J648" s="14">
        <f t="shared" si="182"/>
        <v>398.048</v>
      </c>
      <c r="K648" s="14">
        <f t="shared" ref="K648" si="184">J648+I648</f>
        <v>840.87639999999999</v>
      </c>
    </row>
    <row r="649" spans="1:11" s="72" customFormat="1" ht="19.5" customHeight="1" x14ac:dyDescent="0.25">
      <c r="A649" s="74" t="s">
        <v>869</v>
      </c>
      <c r="B649" s="85" t="s">
        <v>690</v>
      </c>
      <c r="C649" s="76" t="s">
        <v>691</v>
      </c>
      <c r="D649" s="85" t="s">
        <v>24</v>
      </c>
      <c r="E649" s="77">
        <v>144</v>
      </c>
      <c r="F649" s="45">
        <v>6.29</v>
      </c>
      <c r="G649" s="45">
        <v>4.49</v>
      </c>
      <c r="H649" s="46"/>
      <c r="I649" s="13">
        <f t="shared" si="181"/>
        <v>7.8241310000000004</v>
      </c>
      <c r="J649" s="14">
        <f t="shared" si="182"/>
        <v>5.5851110000000004</v>
      </c>
      <c r="K649" s="14"/>
    </row>
    <row r="650" spans="1:11" s="72" customFormat="1" ht="19.5" customHeight="1" x14ac:dyDescent="0.25">
      <c r="A650" s="78"/>
      <c r="B650" s="85"/>
      <c r="C650" s="76"/>
      <c r="D650" s="85"/>
      <c r="E650" s="77"/>
      <c r="F650" s="14">
        <f>E649*F649</f>
        <v>905.76</v>
      </c>
      <c r="G650" s="14">
        <f>E649*G649</f>
        <v>646.56000000000006</v>
      </c>
      <c r="H650" s="14">
        <f>SUM(F650,G650)</f>
        <v>1552.3200000000002</v>
      </c>
      <c r="I650" s="13">
        <f t="shared" si="181"/>
        <v>1126.6748640000001</v>
      </c>
      <c r="J650" s="14">
        <f t="shared" si="182"/>
        <v>804.25598400000013</v>
      </c>
      <c r="K650" s="14">
        <f t="shared" ref="K650" si="185">J650+I650</f>
        <v>1930.9308480000002</v>
      </c>
    </row>
    <row r="651" spans="1:11" s="72" customFormat="1" ht="19.5" customHeight="1" x14ac:dyDescent="0.25">
      <c r="A651" s="74" t="s">
        <v>870</v>
      </c>
      <c r="B651" s="75" t="s">
        <v>517</v>
      </c>
      <c r="C651" s="80" t="s">
        <v>518</v>
      </c>
      <c r="D651" s="78" t="s">
        <v>679</v>
      </c>
      <c r="E651" s="77">
        <v>34</v>
      </c>
      <c r="F651" s="45">
        <v>10.35</v>
      </c>
      <c r="G651" s="45">
        <v>8.7899999999999991</v>
      </c>
      <c r="H651" s="46"/>
      <c r="I651" s="13">
        <f t="shared" si="181"/>
        <v>12.874364999999999</v>
      </c>
      <c r="J651" s="14">
        <f t="shared" si="182"/>
        <v>10.933881</v>
      </c>
      <c r="K651" s="14"/>
    </row>
    <row r="652" spans="1:11" s="72" customFormat="1" ht="19.5" customHeight="1" x14ac:dyDescent="0.25">
      <c r="A652" s="78"/>
      <c r="B652" s="75"/>
      <c r="C652" s="80"/>
      <c r="D652" s="78"/>
      <c r="E652" s="77"/>
      <c r="F652" s="14">
        <f>E651*F651</f>
        <v>351.9</v>
      </c>
      <c r="G652" s="14">
        <f>E651*G651</f>
        <v>298.85999999999996</v>
      </c>
      <c r="H652" s="14">
        <f>SUM(F652,G652)</f>
        <v>650.76</v>
      </c>
      <c r="I652" s="13">
        <f t="shared" si="181"/>
        <v>437.72841</v>
      </c>
      <c r="J652" s="14">
        <f t="shared" si="182"/>
        <v>371.75195399999996</v>
      </c>
      <c r="K652" s="14">
        <f t="shared" ref="K652" si="186">J652+I652</f>
        <v>809.48036400000001</v>
      </c>
    </row>
    <row r="653" spans="1:11" s="72" customFormat="1" ht="60" x14ac:dyDescent="0.25">
      <c r="A653" s="74" t="s">
        <v>871</v>
      </c>
      <c r="B653" s="85" t="s">
        <v>521</v>
      </c>
      <c r="C653" s="76" t="s">
        <v>693</v>
      </c>
      <c r="D653" s="85" t="s">
        <v>24</v>
      </c>
      <c r="E653" s="77">
        <v>230</v>
      </c>
      <c r="F653" s="45">
        <v>1.76</v>
      </c>
      <c r="G653" s="45">
        <v>0.91</v>
      </c>
      <c r="H653" s="46"/>
      <c r="I653" s="13">
        <f t="shared" si="181"/>
        <v>2.1892640000000001</v>
      </c>
      <c r="J653" s="14">
        <f t="shared" si="182"/>
        <v>1.1319490000000001</v>
      </c>
      <c r="K653" s="14"/>
    </row>
    <row r="654" spans="1:11" s="72" customFormat="1" ht="39.75" customHeight="1" x14ac:dyDescent="0.25">
      <c r="A654" s="78"/>
      <c r="B654" s="85"/>
      <c r="C654" s="76"/>
      <c r="D654" s="85"/>
      <c r="E654" s="77"/>
      <c r="F654" s="14">
        <f>E653*F653</f>
        <v>404.8</v>
      </c>
      <c r="G654" s="14">
        <f>E653*G653</f>
        <v>209.3</v>
      </c>
      <c r="H654" s="14">
        <f>SUM(F654,G654)</f>
        <v>614.1</v>
      </c>
      <c r="I654" s="13">
        <f t="shared" si="181"/>
        <v>503.53072000000003</v>
      </c>
      <c r="J654" s="14">
        <f t="shared" si="182"/>
        <v>260.34827000000001</v>
      </c>
      <c r="K654" s="14">
        <f t="shared" ref="K654" si="187">J654+I654</f>
        <v>763.87899000000004</v>
      </c>
    </row>
    <row r="655" spans="1:11" s="72" customFormat="1" ht="60" x14ac:dyDescent="0.25">
      <c r="A655" s="74" t="s">
        <v>872</v>
      </c>
      <c r="B655" s="85" t="s">
        <v>525</v>
      </c>
      <c r="C655" s="76" t="s">
        <v>695</v>
      </c>
      <c r="D655" s="85" t="s">
        <v>24</v>
      </c>
      <c r="E655" s="77">
        <v>30</v>
      </c>
      <c r="F655" s="45">
        <v>4.18</v>
      </c>
      <c r="G655" s="45">
        <v>1.57</v>
      </c>
      <c r="H655" s="46"/>
      <c r="I655" s="13">
        <f t="shared" si="181"/>
        <v>5.1995019999999998</v>
      </c>
      <c r="J655" s="14">
        <f t="shared" si="182"/>
        <v>1.9529230000000002</v>
      </c>
      <c r="K655" s="14"/>
    </row>
    <row r="656" spans="1:11" s="72" customFormat="1" ht="39.75" customHeight="1" x14ac:dyDescent="0.25">
      <c r="A656" s="78"/>
      <c r="B656" s="85"/>
      <c r="C656" s="76"/>
      <c r="D656" s="85"/>
      <c r="E656" s="77"/>
      <c r="F656" s="14">
        <f>E655*F655</f>
        <v>125.39999999999999</v>
      </c>
      <c r="G656" s="14">
        <f>E655*G655</f>
        <v>47.1</v>
      </c>
      <c r="H656" s="14">
        <f>SUM(F656,G656)</f>
        <v>172.5</v>
      </c>
      <c r="I656" s="13">
        <f t="shared" si="181"/>
        <v>155.98506</v>
      </c>
      <c r="J656" s="14">
        <f t="shared" si="182"/>
        <v>58.587690000000002</v>
      </c>
      <c r="K656" s="14">
        <f t="shared" ref="K656" si="188">J656+I656</f>
        <v>214.57275000000001</v>
      </c>
    </row>
    <row r="657" spans="1:11" s="72" customFormat="1" ht="19.5" customHeight="1" x14ac:dyDescent="0.25">
      <c r="A657" s="74" t="s">
        <v>873</v>
      </c>
      <c r="B657" s="86" t="s">
        <v>48</v>
      </c>
      <c r="C657" s="80" t="s">
        <v>697</v>
      </c>
      <c r="D657" s="78" t="s">
        <v>679</v>
      </c>
      <c r="E657" s="77">
        <v>24</v>
      </c>
      <c r="F657" s="45">
        <v>283.11</v>
      </c>
      <c r="G657" s="45">
        <v>70.78</v>
      </c>
      <c r="H657" s="46"/>
      <c r="I657" s="13">
        <f t="shared" si="181"/>
        <v>352.160529</v>
      </c>
      <c r="J657" s="14">
        <f t="shared" si="182"/>
        <v>88.043242000000006</v>
      </c>
      <c r="K657" s="14"/>
    </row>
    <row r="658" spans="1:11" s="72" customFormat="1" ht="19.5" customHeight="1" x14ac:dyDescent="0.25">
      <c r="A658" s="78"/>
      <c r="B658" s="78"/>
      <c r="C658" s="80"/>
      <c r="D658" s="78"/>
      <c r="E658" s="77"/>
      <c r="F658" s="14">
        <f>E657*F657</f>
        <v>6794.64</v>
      </c>
      <c r="G658" s="14">
        <f>E657*G657</f>
        <v>1698.72</v>
      </c>
      <c r="H658" s="14">
        <f>SUM(F658,G658)</f>
        <v>8493.36</v>
      </c>
      <c r="I658" s="13">
        <f t="shared" si="181"/>
        <v>8451.8526959999999</v>
      </c>
      <c r="J658" s="14">
        <f t="shared" si="182"/>
        <v>2113.037808</v>
      </c>
      <c r="K658" s="14">
        <f t="shared" ref="K658" si="189">J658+I658</f>
        <v>10564.890503999999</v>
      </c>
    </row>
    <row r="659" spans="1:11" s="72" customFormat="1" ht="19.5" customHeight="1" x14ac:dyDescent="0.25">
      <c r="A659" s="74" t="s">
        <v>874</v>
      </c>
      <c r="B659" s="85" t="s">
        <v>699</v>
      </c>
      <c r="C659" s="76" t="s">
        <v>700</v>
      </c>
      <c r="D659" s="85" t="s">
        <v>679</v>
      </c>
      <c r="E659" s="77">
        <v>10</v>
      </c>
      <c r="F659" s="45">
        <v>15.95</v>
      </c>
      <c r="G659" s="45">
        <v>11.59</v>
      </c>
      <c r="H659" s="46"/>
      <c r="I659" s="13">
        <f t="shared" si="181"/>
        <v>19.840205000000001</v>
      </c>
      <c r="J659" s="14">
        <f t="shared" si="182"/>
        <v>14.416801</v>
      </c>
      <c r="K659" s="14"/>
    </row>
    <row r="660" spans="1:11" s="72" customFormat="1" ht="15.75" customHeight="1" x14ac:dyDescent="0.25">
      <c r="A660" s="78"/>
      <c r="B660" s="9"/>
      <c r="C660" s="10"/>
      <c r="D660" s="16"/>
      <c r="E660" s="17"/>
      <c r="F660" s="14">
        <f>E659*F659</f>
        <v>159.5</v>
      </c>
      <c r="G660" s="14">
        <f>E659*G659</f>
        <v>115.9</v>
      </c>
      <c r="H660" s="14">
        <f>SUM(F660,G660)</f>
        <v>275.39999999999998</v>
      </c>
      <c r="I660" s="13">
        <f t="shared" si="181"/>
        <v>198.40205</v>
      </c>
      <c r="J660" s="14">
        <f t="shared" si="182"/>
        <v>144.16801000000001</v>
      </c>
      <c r="K660" s="14">
        <f t="shared" ref="K660" si="190">J660+I660</f>
        <v>342.57006000000001</v>
      </c>
    </row>
    <row r="661" spans="1:11" s="72" customFormat="1" ht="15.75" customHeight="1" x14ac:dyDescent="0.25">
      <c r="A661" s="9"/>
      <c r="B661" s="9"/>
      <c r="C661" s="10"/>
      <c r="D661" s="16"/>
      <c r="E661" s="17"/>
      <c r="F661" s="14"/>
      <c r="G661" s="14"/>
      <c r="H661" s="14"/>
      <c r="I661" s="14"/>
      <c r="J661" s="14"/>
      <c r="K661" s="14"/>
    </row>
    <row r="662" spans="1:11" s="72" customFormat="1" ht="15.75" customHeight="1" x14ac:dyDescent="0.25">
      <c r="A662" s="9"/>
      <c r="B662" s="9"/>
      <c r="C662" s="52" t="s">
        <v>701</v>
      </c>
      <c r="D662" s="16"/>
      <c r="E662" s="17"/>
      <c r="F662" s="14">
        <f t="shared" ref="F662:J662" si="191">F660+F658+F656+F654+F652+F650+F648+F646+F644+F642</f>
        <v>9502.43</v>
      </c>
      <c r="G662" s="14">
        <f t="shared" si="191"/>
        <v>3419.78</v>
      </c>
      <c r="H662" s="14">
        <f>SUM(F662,G662)</f>
        <v>12922.210000000001</v>
      </c>
      <c r="I662" s="14">
        <f t="shared" si="191"/>
        <v>11820.072677000002</v>
      </c>
      <c r="J662" s="14">
        <f t="shared" si="191"/>
        <v>4253.8643419999999</v>
      </c>
      <c r="K662" s="14">
        <f>SUM(I662,J662)</f>
        <v>16073.937019000001</v>
      </c>
    </row>
    <row r="663" spans="1:11" s="72" customFormat="1" ht="15.75" customHeight="1" x14ac:dyDescent="0.25">
      <c r="A663" s="9"/>
      <c r="B663" s="9"/>
      <c r="C663" s="21"/>
      <c r="D663" s="16"/>
      <c r="E663" s="17"/>
      <c r="F663" s="14"/>
      <c r="G663" s="14"/>
      <c r="H663" s="14"/>
      <c r="I663" s="14"/>
      <c r="J663" s="14"/>
      <c r="K663" s="14"/>
    </row>
    <row r="664" spans="1:11" s="72" customFormat="1" ht="15.75" customHeight="1" x14ac:dyDescent="0.25">
      <c r="A664" s="53" t="s">
        <v>675</v>
      </c>
      <c r="B664" s="49"/>
      <c r="C664" s="34" t="s">
        <v>703</v>
      </c>
      <c r="D664" s="24"/>
      <c r="E664" s="22"/>
      <c r="F664" s="8"/>
      <c r="G664" s="8"/>
      <c r="H664" s="8"/>
      <c r="I664" s="8"/>
      <c r="J664" s="8"/>
      <c r="K664" s="8"/>
    </row>
    <row r="665" spans="1:11" s="72" customFormat="1" ht="19.5" customHeight="1" x14ac:dyDescent="0.25">
      <c r="A665" s="74" t="s">
        <v>875</v>
      </c>
      <c r="B665" s="25" t="s">
        <v>704</v>
      </c>
      <c r="C665" s="87" t="s">
        <v>705</v>
      </c>
      <c r="D665" s="25" t="s">
        <v>679</v>
      </c>
      <c r="E665" s="77">
        <v>6</v>
      </c>
      <c r="F665" s="45">
        <v>45.81</v>
      </c>
      <c r="G665" s="45">
        <v>7.68</v>
      </c>
      <c r="H665" s="46"/>
      <c r="I665" s="13">
        <f t="shared" ref="I665:I670" si="192">F665*1.2439</f>
        <v>56.983059000000004</v>
      </c>
      <c r="J665" s="14">
        <f t="shared" ref="J665:J670" si="193">G665*1.2439</f>
        <v>9.553151999999999</v>
      </c>
      <c r="K665" s="14"/>
    </row>
    <row r="666" spans="1:11" s="72" customFormat="1" ht="19.5" customHeight="1" x14ac:dyDescent="0.25">
      <c r="A666" s="78"/>
      <c r="B666" s="25"/>
      <c r="C666" s="87"/>
      <c r="D666" s="25"/>
      <c r="E666" s="77"/>
      <c r="F666" s="14">
        <f>E665*F665</f>
        <v>274.86</v>
      </c>
      <c r="G666" s="14">
        <f>E665*G665</f>
        <v>46.08</v>
      </c>
      <c r="H666" s="14">
        <f>SUM(F666,G666)</f>
        <v>320.94</v>
      </c>
      <c r="I666" s="13">
        <f t="shared" si="192"/>
        <v>341.89835400000004</v>
      </c>
      <c r="J666" s="14">
        <f t="shared" si="193"/>
        <v>57.318911999999997</v>
      </c>
      <c r="K666" s="14">
        <f t="shared" ref="K666" si="194">J666+I666</f>
        <v>399.21726600000005</v>
      </c>
    </row>
    <row r="667" spans="1:11" s="72" customFormat="1" ht="19.5" customHeight="1" x14ac:dyDescent="0.25">
      <c r="A667" s="74" t="s">
        <v>876</v>
      </c>
      <c r="B667" s="75" t="s">
        <v>706</v>
      </c>
      <c r="C667" s="87" t="s">
        <v>707</v>
      </c>
      <c r="D667" s="88" t="s">
        <v>24</v>
      </c>
      <c r="E667" s="77">
        <v>122</v>
      </c>
      <c r="F667" s="45">
        <v>27.34</v>
      </c>
      <c r="G667" s="45">
        <v>12.52</v>
      </c>
      <c r="H667" s="46"/>
      <c r="I667" s="13">
        <f t="shared" si="192"/>
        <v>34.008226000000001</v>
      </c>
      <c r="J667" s="14">
        <f t="shared" si="193"/>
        <v>15.573627999999999</v>
      </c>
      <c r="K667" s="14"/>
    </row>
    <row r="668" spans="1:11" s="72" customFormat="1" ht="19.5" customHeight="1" x14ac:dyDescent="0.25">
      <c r="A668" s="78"/>
      <c r="B668" s="75"/>
      <c r="C668" s="87"/>
      <c r="D668" s="88"/>
      <c r="E668" s="77"/>
      <c r="F668" s="14">
        <f>E667*F667</f>
        <v>3335.48</v>
      </c>
      <c r="G668" s="14">
        <f>E667*G667</f>
        <v>1527.44</v>
      </c>
      <c r="H668" s="14">
        <f>SUM(F668,G668)</f>
        <v>4862.92</v>
      </c>
      <c r="I668" s="13">
        <f t="shared" si="192"/>
        <v>4149.0035719999996</v>
      </c>
      <c r="J668" s="14">
        <f t="shared" si="193"/>
        <v>1899.982616</v>
      </c>
      <c r="K668" s="14">
        <f t="shared" ref="K668" si="195">J668+I668</f>
        <v>6048.9861879999999</v>
      </c>
    </row>
    <row r="669" spans="1:11" s="72" customFormat="1" ht="19.5" customHeight="1" x14ac:dyDescent="0.25">
      <c r="A669" s="74" t="s">
        <v>877</v>
      </c>
      <c r="B669" s="75" t="s">
        <v>708</v>
      </c>
      <c r="C669" s="87" t="s">
        <v>709</v>
      </c>
      <c r="D669" s="88" t="s">
        <v>24</v>
      </c>
      <c r="E669" s="77">
        <v>158</v>
      </c>
      <c r="F669" s="45">
        <v>35.479999999999997</v>
      </c>
      <c r="G669" s="45">
        <v>14.68</v>
      </c>
      <c r="H669" s="46"/>
      <c r="I669" s="13">
        <f t="shared" si="192"/>
        <v>44.133571999999994</v>
      </c>
      <c r="J669" s="14">
        <f t="shared" si="193"/>
        <v>18.260452000000001</v>
      </c>
      <c r="K669" s="14"/>
    </row>
    <row r="670" spans="1:11" s="72" customFormat="1" ht="19.5" customHeight="1" x14ac:dyDescent="0.25">
      <c r="A670" s="78"/>
      <c r="B670" s="75"/>
      <c r="C670" s="87"/>
      <c r="D670" s="88"/>
      <c r="E670" s="77"/>
      <c r="F670" s="14">
        <f>E669*F669</f>
        <v>5605.8399999999992</v>
      </c>
      <c r="G670" s="14">
        <f>E669*G669</f>
        <v>2319.44</v>
      </c>
      <c r="H670" s="14">
        <f>SUM(F670,G670)</f>
        <v>7925.2799999999988</v>
      </c>
      <c r="I670" s="13">
        <f t="shared" si="192"/>
        <v>6973.1043759999993</v>
      </c>
      <c r="J670" s="14">
        <f t="shared" si="193"/>
        <v>2885.1514160000002</v>
      </c>
      <c r="K670" s="14">
        <f t="shared" ref="K670" si="196">J670+I670</f>
        <v>9858.2557919999999</v>
      </c>
    </row>
    <row r="671" spans="1:11" s="72" customFormat="1" ht="19.5" customHeight="1" x14ac:dyDescent="0.25">
      <c r="A671" s="74" t="s">
        <v>878</v>
      </c>
      <c r="B671" s="75" t="s">
        <v>710</v>
      </c>
      <c r="C671" s="89" t="s">
        <v>711</v>
      </c>
      <c r="D671" s="25" t="s">
        <v>679</v>
      </c>
      <c r="E671" s="77">
        <v>6</v>
      </c>
      <c r="F671" s="45">
        <v>16.989999999999998</v>
      </c>
      <c r="G671" s="45">
        <v>5.95</v>
      </c>
      <c r="H671" s="46"/>
      <c r="I671" s="13">
        <f t="shared" ref="I671:I674" si="197">F671*1.2439</f>
        <v>21.133861</v>
      </c>
      <c r="J671" s="14">
        <f t="shared" ref="J671:J674" si="198">G671*1.2439</f>
        <v>7.401205</v>
      </c>
      <c r="K671" s="14"/>
    </row>
    <row r="672" spans="1:11" s="72" customFormat="1" ht="19.5" customHeight="1" x14ac:dyDescent="0.25">
      <c r="A672" s="78"/>
      <c r="B672" s="75"/>
      <c r="C672" s="89"/>
      <c r="D672" s="25"/>
      <c r="E672" s="77"/>
      <c r="F672" s="14">
        <f>E671*F671</f>
        <v>101.94</v>
      </c>
      <c r="G672" s="14">
        <f>E671*G671</f>
        <v>35.700000000000003</v>
      </c>
      <c r="H672" s="14">
        <f>SUM(F672,G672)</f>
        <v>137.63999999999999</v>
      </c>
      <c r="I672" s="13">
        <f t="shared" si="197"/>
        <v>126.803166</v>
      </c>
      <c r="J672" s="14">
        <f t="shared" si="198"/>
        <v>44.407230000000006</v>
      </c>
      <c r="K672" s="14">
        <f t="shared" ref="K672" si="199">J672+I672</f>
        <v>171.210396</v>
      </c>
    </row>
    <row r="673" spans="1:11" s="72" customFormat="1" ht="19.5" customHeight="1" x14ac:dyDescent="0.25">
      <c r="A673" s="74" t="s">
        <v>879</v>
      </c>
      <c r="B673" s="75" t="s">
        <v>712</v>
      </c>
      <c r="C673" s="89" t="s">
        <v>713</v>
      </c>
      <c r="D673" s="25" t="s">
        <v>679</v>
      </c>
      <c r="E673" s="77">
        <v>6</v>
      </c>
      <c r="F673" s="45">
        <v>14.98</v>
      </c>
      <c r="G673" s="45">
        <v>24.5</v>
      </c>
      <c r="H673" s="46"/>
      <c r="I673" s="13">
        <f t="shared" si="197"/>
        <v>18.633621999999999</v>
      </c>
      <c r="J673" s="14">
        <f t="shared" si="198"/>
        <v>30.475549999999998</v>
      </c>
      <c r="K673" s="14"/>
    </row>
    <row r="674" spans="1:11" s="72" customFormat="1" ht="15.75" customHeight="1" x14ac:dyDescent="0.25">
      <c r="A674" s="78"/>
      <c r="B674" s="9"/>
      <c r="C674" s="10"/>
      <c r="D674" s="16"/>
      <c r="E674" s="17"/>
      <c r="F674" s="14">
        <f>E673*F673</f>
        <v>89.88</v>
      </c>
      <c r="G674" s="14">
        <f>E673*G673</f>
        <v>147</v>
      </c>
      <c r="H674" s="14">
        <f>SUM(F674,G674)</f>
        <v>236.88</v>
      </c>
      <c r="I674" s="13">
        <f t="shared" si="197"/>
        <v>111.801732</v>
      </c>
      <c r="J674" s="14">
        <f t="shared" si="198"/>
        <v>182.85329999999999</v>
      </c>
      <c r="K674" s="14">
        <f t="shared" ref="K674" si="200">J674+I674</f>
        <v>294.65503200000001</v>
      </c>
    </row>
    <row r="675" spans="1:11" s="72" customFormat="1" ht="15.75" customHeight="1" x14ac:dyDescent="0.25">
      <c r="A675" s="9"/>
      <c r="B675" s="9"/>
      <c r="C675" s="10"/>
      <c r="D675" s="16"/>
      <c r="E675" s="17"/>
      <c r="F675" s="14"/>
      <c r="G675" s="14"/>
      <c r="H675" s="14"/>
      <c r="I675" s="14"/>
      <c r="J675" s="14"/>
      <c r="K675" s="14"/>
    </row>
    <row r="676" spans="1:11" s="72" customFormat="1" ht="15.75" customHeight="1" x14ac:dyDescent="0.25">
      <c r="A676" s="9"/>
      <c r="B676" s="9"/>
      <c r="C676" s="52" t="s">
        <v>714</v>
      </c>
      <c r="D676" s="16"/>
      <c r="E676" s="17"/>
      <c r="F676" s="14">
        <f t="shared" ref="F676:J676" si="201">F674+F672+F670+F668+F666</f>
        <v>9408</v>
      </c>
      <c r="G676" s="14">
        <f t="shared" si="201"/>
        <v>4075.66</v>
      </c>
      <c r="H676" s="14">
        <f>SUM(F676,G676)</f>
        <v>13483.66</v>
      </c>
      <c r="I676" s="14">
        <f t="shared" si="201"/>
        <v>11702.611199999999</v>
      </c>
      <c r="J676" s="14">
        <f t="shared" si="201"/>
        <v>5069.7134740000001</v>
      </c>
      <c r="K676" s="14">
        <f>SUM(I676,J676)</f>
        <v>16772.324674</v>
      </c>
    </row>
    <row r="677" spans="1:11" s="72" customFormat="1" ht="15.75" customHeight="1" x14ac:dyDescent="0.25">
      <c r="A677" s="9"/>
      <c r="B677" s="9"/>
      <c r="C677" s="21"/>
      <c r="D677" s="16"/>
      <c r="E677" s="17"/>
      <c r="F677" s="14"/>
      <c r="G677" s="14"/>
      <c r="H677" s="14"/>
      <c r="I677" s="14"/>
      <c r="J677" s="14"/>
      <c r="K677" s="14"/>
    </row>
    <row r="678" spans="1:11" s="72" customFormat="1" ht="15.75" customHeight="1" x14ac:dyDescent="0.25">
      <c r="A678" s="53" t="s">
        <v>702</v>
      </c>
      <c r="B678" s="49"/>
      <c r="C678" s="34" t="s">
        <v>600</v>
      </c>
      <c r="D678" s="24"/>
      <c r="E678" s="22"/>
      <c r="F678" s="8"/>
      <c r="G678" s="8"/>
      <c r="H678" s="8"/>
      <c r="I678" s="8"/>
      <c r="J678" s="8"/>
      <c r="K678" s="8"/>
    </row>
    <row r="679" spans="1:11" s="72" customFormat="1" ht="19.5" customHeight="1" x14ac:dyDescent="0.25">
      <c r="A679" s="74" t="s">
        <v>880</v>
      </c>
      <c r="B679" s="78" t="s">
        <v>48</v>
      </c>
      <c r="C679" s="76" t="s">
        <v>716</v>
      </c>
      <c r="D679" s="90" t="s">
        <v>717</v>
      </c>
      <c r="E679" s="77">
        <v>1</v>
      </c>
      <c r="F679" s="45">
        <v>379.62</v>
      </c>
      <c r="G679" s="45">
        <v>5</v>
      </c>
      <c r="H679" s="46"/>
      <c r="I679" s="13">
        <f t="shared" ref="I679:I686" si="202">F679*1.2439</f>
        <v>472.209318</v>
      </c>
      <c r="J679" s="14">
        <f t="shared" ref="J679:J686" si="203">G679*1.2439</f>
        <v>6.2195</v>
      </c>
      <c r="K679" s="14"/>
    </row>
    <row r="680" spans="1:11" s="72" customFormat="1" ht="19.5" customHeight="1" x14ac:dyDescent="0.25">
      <c r="A680" s="78"/>
      <c r="B680" s="78"/>
      <c r="C680" s="76"/>
      <c r="D680" s="90"/>
      <c r="E680" s="77"/>
      <c r="F680" s="14">
        <f>E679*F679</f>
        <v>379.62</v>
      </c>
      <c r="G680" s="14">
        <f>E679*G679</f>
        <v>5</v>
      </c>
      <c r="H680" s="14">
        <f>SUM(F680,G680)</f>
        <v>384.62</v>
      </c>
      <c r="I680" s="13">
        <f t="shared" si="202"/>
        <v>472.209318</v>
      </c>
      <c r="J680" s="14">
        <f t="shared" si="203"/>
        <v>6.2195</v>
      </c>
      <c r="K680" s="14">
        <f t="shared" ref="K680" si="204">J680+I680</f>
        <v>478.42881799999998</v>
      </c>
    </row>
    <row r="681" spans="1:11" s="72" customFormat="1" ht="19.5" customHeight="1" x14ac:dyDescent="0.25">
      <c r="A681" s="74" t="s">
        <v>881</v>
      </c>
      <c r="B681" s="78" t="s">
        <v>48</v>
      </c>
      <c r="C681" s="76" t="s">
        <v>718</v>
      </c>
      <c r="D681" s="90" t="s">
        <v>717</v>
      </c>
      <c r="E681" s="77">
        <v>1</v>
      </c>
      <c r="F681" s="45">
        <v>261.5</v>
      </c>
      <c r="G681" s="45">
        <v>5</v>
      </c>
      <c r="H681" s="46"/>
      <c r="I681" s="13">
        <f t="shared" si="202"/>
        <v>325.27985000000001</v>
      </c>
      <c r="J681" s="14">
        <f t="shared" si="203"/>
        <v>6.2195</v>
      </c>
      <c r="K681" s="14"/>
    </row>
    <row r="682" spans="1:11" s="72" customFormat="1" ht="19.5" customHeight="1" x14ac:dyDescent="0.25">
      <c r="A682" s="78"/>
      <c r="B682" s="78"/>
      <c r="C682" s="76"/>
      <c r="D682" s="90"/>
      <c r="E682" s="77"/>
      <c r="F682" s="14">
        <f>E681*F681</f>
        <v>261.5</v>
      </c>
      <c r="G682" s="14">
        <f>E681*G681</f>
        <v>5</v>
      </c>
      <c r="H682" s="14">
        <f>SUM(F682,G682)</f>
        <v>266.5</v>
      </c>
      <c r="I682" s="13">
        <f t="shared" si="202"/>
        <v>325.27985000000001</v>
      </c>
      <c r="J682" s="14">
        <f t="shared" si="203"/>
        <v>6.2195</v>
      </c>
      <c r="K682" s="14">
        <f t="shared" ref="K682" si="205">J682+I682</f>
        <v>331.49934999999999</v>
      </c>
    </row>
    <row r="683" spans="1:11" s="72" customFormat="1" ht="19.5" customHeight="1" x14ac:dyDescent="0.25">
      <c r="A683" s="74" t="s">
        <v>882</v>
      </c>
      <c r="B683" s="78" t="s">
        <v>48</v>
      </c>
      <c r="C683" s="76" t="s">
        <v>719</v>
      </c>
      <c r="D683" s="90" t="s">
        <v>717</v>
      </c>
      <c r="E683" s="77">
        <v>1</v>
      </c>
      <c r="F683" s="45">
        <v>390</v>
      </c>
      <c r="G683" s="45">
        <v>5</v>
      </c>
      <c r="H683" s="46"/>
      <c r="I683" s="13">
        <f t="shared" si="202"/>
        <v>485.12099999999998</v>
      </c>
      <c r="J683" s="14">
        <f t="shared" si="203"/>
        <v>6.2195</v>
      </c>
      <c r="K683" s="14"/>
    </row>
    <row r="684" spans="1:11" s="72" customFormat="1" ht="19.5" customHeight="1" x14ac:dyDescent="0.25">
      <c r="A684" s="78"/>
      <c r="B684" s="73"/>
      <c r="C684" s="91"/>
      <c r="D684" s="90"/>
      <c r="E684" s="77"/>
      <c r="F684" s="14">
        <f>E683*F683</f>
        <v>390</v>
      </c>
      <c r="G684" s="14">
        <f>E683*G683</f>
        <v>5</v>
      </c>
      <c r="H684" s="14">
        <f>SUM(F684,G684)</f>
        <v>395</v>
      </c>
      <c r="I684" s="13">
        <f t="shared" si="202"/>
        <v>485.12099999999998</v>
      </c>
      <c r="J684" s="14">
        <f t="shared" si="203"/>
        <v>6.2195</v>
      </c>
      <c r="K684" s="14">
        <f t="shared" ref="K684" si="206">J684+I684</f>
        <v>491.34049999999996</v>
      </c>
    </row>
    <row r="685" spans="1:11" s="72" customFormat="1" ht="30" customHeight="1" x14ac:dyDescent="0.25">
      <c r="A685" s="74" t="s">
        <v>883</v>
      </c>
      <c r="B685" s="73" t="s">
        <v>720</v>
      </c>
      <c r="C685" s="91" t="s">
        <v>721</v>
      </c>
      <c r="D685" s="90" t="s">
        <v>9</v>
      </c>
      <c r="E685" s="77">
        <v>26.37</v>
      </c>
      <c r="F685" s="45">
        <v>95.81</v>
      </c>
      <c r="G685" s="45">
        <v>20.79</v>
      </c>
      <c r="H685" s="46"/>
      <c r="I685" s="13">
        <f t="shared" si="202"/>
        <v>119.178059</v>
      </c>
      <c r="J685" s="14">
        <f t="shared" si="203"/>
        <v>25.860681</v>
      </c>
      <c r="K685" s="14"/>
    </row>
    <row r="686" spans="1:11" s="72" customFormat="1" ht="15.75" customHeight="1" x14ac:dyDescent="0.25">
      <c r="A686" s="9"/>
      <c r="B686" s="9"/>
      <c r="C686" s="10"/>
      <c r="D686" s="16"/>
      <c r="E686" s="17"/>
      <c r="F686" s="14">
        <f>E685*F685</f>
        <v>2526.5097000000001</v>
      </c>
      <c r="G686" s="14">
        <f>E685*G685</f>
        <v>548.23230000000001</v>
      </c>
      <c r="H686" s="14">
        <f>SUM(F686,G686)</f>
        <v>3074.7420000000002</v>
      </c>
      <c r="I686" s="13">
        <f t="shared" si="202"/>
        <v>3142.7254158300002</v>
      </c>
      <c r="J686" s="14">
        <f t="shared" si="203"/>
        <v>681.94615797000006</v>
      </c>
      <c r="K686" s="14">
        <f t="shared" ref="K686" si="207">J686+I686</f>
        <v>3824.6715738000003</v>
      </c>
    </row>
    <row r="687" spans="1:11" s="72" customFormat="1" ht="15.75" customHeight="1" x14ac:dyDescent="0.25">
      <c r="A687" s="9"/>
      <c r="B687" s="9"/>
      <c r="C687" s="10"/>
      <c r="D687" s="16"/>
      <c r="E687" s="17"/>
      <c r="F687" s="14"/>
      <c r="G687" s="14"/>
      <c r="H687" s="14"/>
      <c r="I687" s="14"/>
      <c r="J687" s="14"/>
      <c r="K687" s="14"/>
    </row>
    <row r="688" spans="1:11" s="72" customFormat="1" ht="15.75" customHeight="1" x14ac:dyDescent="0.25">
      <c r="A688" s="9"/>
      <c r="B688" s="9"/>
      <c r="C688" s="52" t="s">
        <v>611</v>
      </c>
      <c r="D688" s="16"/>
      <c r="E688" s="17"/>
      <c r="F688" s="14">
        <f t="shared" ref="F688:J688" si="208">F686+F684+F682+F680</f>
        <v>3557.6297</v>
      </c>
      <c r="G688" s="14">
        <f t="shared" si="208"/>
        <v>563.23230000000001</v>
      </c>
      <c r="H688" s="14">
        <f>SUM(F688,G688)</f>
        <v>4120.8620000000001</v>
      </c>
      <c r="I688" s="14">
        <f t="shared" si="208"/>
        <v>4425.3355838300004</v>
      </c>
      <c r="J688" s="14">
        <f t="shared" si="208"/>
        <v>700.60465797000018</v>
      </c>
      <c r="K688" s="14">
        <f>SUM(I688,J688)</f>
        <v>5125.9402418000009</v>
      </c>
    </row>
    <row r="689" spans="1:11" s="72" customFormat="1" ht="15.75" customHeight="1" x14ac:dyDescent="0.25">
      <c r="A689" s="9"/>
      <c r="B689" s="9"/>
      <c r="C689" s="21"/>
      <c r="D689" s="16"/>
      <c r="E689" s="17"/>
      <c r="F689" s="14"/>
      <c r="G689" s="14"/>
      <c r="H689" s="14"/>
      <c r="I689" s="14"/>
      <c r="J689" s="14"/>
      <c r="K689" s="14"/>
    </row>
    <row r="690" spans="1:11" s="72" customFormat="1" ht="15.75" customHeight="1" x14ac:dyDescent="0.25">
      <c r="A690" s="53" t="s">
        <v>715</v>
      </c>
      <c r="B690" s="49"/>
      <c r="C690" s="34" t="s">
        <v>722</v>
      </c>
      <c r="D690" s="24"/>
      <c r="E690" s="22"/>
      <c r="F690" s="8"/>
      <c r="G690" s="8"/>
      <c r="H690" s="8"/>
      <c r="I690" s="8"/>
      <c r="J690" s="8"/>
      <c r="K690" s="8"/>
    </row>
    <row r="691" spans="1:11" s="72" customFormat="1" ht="19.5" customHeight="1" x14ac:dyDescent="0.25">
      <c r="A691" s="79" t="s">
        <v>884</v>
      </c>
      <c r="B691" s="86" t="s">
        <v>48</v>
      </c>
      <c r="C691" s="92" t="s">
        <v>615</v>
      </c>
      <c r="D691" s="83" t="s">
        <v>9</v>
      </c>
      <c r="E691" s="77">
        <v>986.17</v>
      </c>
      <c r="F691" s="45">
        <v>2.2000000000000002</v>
      </c>
      <c r="G691" s="45">
        <v>0.55000000000000004</v>
      </c>
      <c r="H691" s="46"/>
      <c r="I691" s="13">
        <f t="shared" ref="I691:I692" si="209">F691*1.2439</f>
        <v>2.73658</v>
      </c>
      <c r="J691" s="14">
        <f t="shared" ref="J691:J692" si="210">G691*1.2439</f>
        <v>0.684145</v>
      </c>
      <c r="K691" s="14"/>
    </row>
    <row r="692" spans="1:11" s="72" customFormat="1" ht="15.75" customHeight="1" x14ac:dyDescent="0.25">
      <c r="A692" s="9"/>
      <c r="B692" s="9"/>
      <c r="C692" s="10"/>
      <c r="D692" s="16"/>
      <c r="E692" s="17"/>
      <c r="F692" s="14">
        <f>E691*F691</f>
        <v>2169.5740000000001</v>
      </c>
      <c r="G692" s="14">
        <f>E691*G691</f>
        <v>542.39350000000002</v>
      </c>
      <c r="H692" s="14">
        <f>SUM(F692,G692)</f>
        <v>2711.9675000000002</v>
      </c>
      <c r="I692" s="13">
        <f t="shared" si="209"/>
        <v>2698.7330986000002</v>
      </c>
      <c r="J692" s="14">
        <f t="shared" si="210"/>
        <v>674.68327465000004</v>
      </c>
      <c r="K692" s="14">
        <f t="shared" ref="K692" si="211">J692+I692</f>
        <v>3373.4163732500001</v>
      </c>
    </row>
    <row r="693" spans="1:11" s="72" customFormat="1" ht="15.75" customHeight="1" x14ac:dyDescent="0.25">
      <c r="A693" s="9"/>
      <c r="B693" s="9"/>
      <c r="C693" s="10"/>
      <c r="D693" s="16"/>
      <c r="E693" s="17"/>
      <c r="F693" s="14"/>
      <c r="G693" s="14"/>
      <c r="H693" s="14"/>
      <c r="I693" s="14"/>
      <c r="J693" s="14"/>
      <c r="K693" s="14"/>
    </row>
    <row r="694" spans="1:11" s="72" customFormat="1" ht="15.75" customHeight="1" x14ac:dyDescent="0.25">
      <c r="A694" s="9"/>
      <c r="B694" s="9"/>
      <c r="C694" s="52" t="s">
        <v>723</v>
      </c>
      <c r="D694" s="16"/>
      <c r="E694" s="17"/>
      <c r="F694" s="14">
        <f t="shared" ref="F694:J694" si="212">F692</f>
        <v>2169.5740000000001</v>
      </c>
      <c r="G694" s="14">
        <f t="shared" si="212"/>
        <v>542.39350000000002</v>
      </c>
      <c r="H694" s="14">
        <f>SUM(F694,G694)</f>
        <v>2711.9675000000002</v>
      </c>
      <c r="I694" s="14">
        <f t="shared" si="212"/>
        <v>2698.7330986000002</v>
      </c>
      <c r="J694" s="14">
        <f t="shared" si="212"/>
        <v>674.68327465000004</v>
      </c>
      <c r="K694" s="14">
        <f>SUM(I694,J694)</f>
        <v>3373.4163732500001</v>
      </c>
    </row>
    <row r="695" spans="1:11" s="72" customFormat="1" ht="15.75" customHeight="1" x14ac:dyDescent="0.25">
      <c r="A695" s="9"/>
      <c r="B695" s="9"/>
      <c r="C695" s="21"/>
      <c r="D695" s="16"/>
      <c r="E695" s="17"/>
      <c r="F695" s="14"/>
      <c r="G695" s="14"/>
      <c r="H695" s="14"/>
      <c r="I695" s="14"/>
      <c r="J695" s="14"/>
      <c r="K695" s="14"/>
    </row>
    <row r="696" spans="1:11" s="99" customFormat="1" ht="15.75" customHeight="1" x14ac:dyDescent="0.25">
      <c r="A696" s="100"/>
      <c r="B696" s="101" t="s">
        <v>724</v>
      </c>
      <c r="C696" s="102"/>
      <c r="D696" s="103"/>
      <c r="E696" s="104"/>
      <c r="F696" s="104">
        <f t="shared" ref="F696:J696" si="213">F694+F688+F676+F662+F638+F630+F620+F614+F598+F568+F562+F542+F520+F406+F390+F366+F304+F234+F174+F156+F126+F110+F104+F70+F54+F36+F28+F22</f>
        <v>1407003.189245</v>
      </c>
      <c r="G696" s="104">
        <f t="shared" si="213"/>
        <v>463028.42560500005</v>
      </c>
      <c r="H696" s="105">
        <f>SUM(F696:G696)</f>
        <v>1870031.61485</v>
      </c>
      <c r="I696" s="104">
        <f t="shared" si="213"/>
        <v>1750171.2671018555</v>
      </c>
      <c r="J696" s="104">
        <f t="shared" si="213"/>
        <v>575961.05861005955</v>
      </c>
      <c r="K696" s="105">
        <f>J696+I696</f>
        <v>2326132.3257119153</v>
      </c>
    </row>
    <row r="697" spans="1:11" ht="15.75" customHeight="1" x14ac:dyDescent="0.25">
      <c r="A697" s="1"/>
      <c r="B697" s="1"/>
      <c r="C697" s="54"/>
      <c r="D697" s="1"/>
      <c r="E697" s="55"/>
      <c r="F697" s="56"/>
      <c r="G697" s="56"/>
      <c r="H697" s="56"/>
      <c r="I697" s="56"/>
      <c r="J697" s="56"/>
      <c r="K697" s="56"/>
    </row>
    <row r="698" spans="1:11" ht="15.75" customHeight="1" x14ac:dyDescent="0.25">
      <c r="A698" s="1"/>
      <c r="B698" s="1"/>
      <c r="C698" s="54"/>
      <c r="D698" s="1"/>
      <c r="E698" s="55"/>
      <c r="F698" s="56"/>
      <c r="G698" s="56"/>
      <c r="H698" s="56"/>
      <c r="I698" s="56"/>
      <c r="J698" s="56"/>
      <c r="K698" s="56"/>
    </row>
    <row r="699" spans="1:11" ht="15.75" customHeight="1" x14ac:dyDescent="0.25">
      <c r="A699" s="1"/>
      <c r="B699" s="1"/>
      <c r="C699" s="54"/>
      <c r="D699" s="1"/>
      <c r="E699" s="55"/>
      <c r="F699" s="56"/>
      <c r="G699" s="56"/>
      <c r="H699" s="56"/>
      <c r="I699" s="56"/>
      <c r="J699" s="56"/>
      <c r="K699" s="56"/>
    </row>
    <row r="700" spans="1:11" ht="15.75" customHeight="1" x14ac:dyDescent="0.25">
      <c r="A700" s="1"/>
      <c r="B700" s="1"/>
      <c r="C700" s="54"/>
      <c r="D700" s="1"/>
      <c r="E700" s="55"/>
      <c r="F700" s="56"/>
      <c r="G700" s="56"/>
      <c r="H700" s="56"/>
      <c r="I700" s="56"/>
      <c r="J700" s="56"/>
      <c r="K700" s="56"/>
    </row>
    <row r="701" spans="1:11" ht="15.75" customHeight="1" x14ac:dyDescent="0.25">
      <c r="A701" s="1"/>
      <c r="B701" s="1"/>
      <c r="C701" s="54"/>
      <c r="D701" s="1"/>
      <c r="E701" s="55"/>
      <c r="F701" s="56"/>
      <c r="G701" s="56"/>
      <c r="H701" s="56"/>
      <c r="I701" s="56"/>
      <c r="J701" s="56"/>
      <c r="K701" s="56"/>
    </row>
    <row r="702" spans="1:11" ht="15.75" customHeight="1" x14ac:dyDescent="0.25">
      <c r="A702" s="1"/>
      <c r="B702" s="1"/>
      <c r="C702" s="54"/>
      <c r="D702" s="1"/>
      <c r="E702" s="55"/>
      <c r="F702" s="56"/>
      <c r="G702" s="56"/>
      <c r="H702" s="56"/>
      <c r="I702" s="56"/>
      <c r="J702" s="56"/>
      <c r="K702" s="56"/>
    </row>
    <row r="703" spans="1:11" ht="15.75" customHeight="1" x14ac:dyDescent="0.25">
      <c r="A703" s="1"/>
      <c r="B703" s="1"/>
      <c r="C703" s="54"/>
      <c r="D703" s="1"/>
      <c r="E703" s="55"/>
      <c r="F703" s="56"/>
      <c r="G703" s="56"/>
      <c r="H703" s="56"/>
      <c r="I703" s="56"/>
      <c r="J703" s="56"/>
      <c r="K703" s="56"/>
    </row>
    <row r="704" spans="1:11" ht="15.75" customHeight="1" x14ac:dyDescent="0.25">
      <c r="A704" s="1"/>
      <c r="B704" s="1"/>
      <c r="C704" s="54"/>
      <c r="D704" s="1"/>
      <c r="E704" s="55"/>
      <c r="F704" s="56"/>
      <c r="G704" s="56"/>
      <c r="H704" s="56"/>
      <c r="I704" s="56"/>
      <c r="J704" s="56"/>
      <c r="K704" s="56"/>
    </row>
    <row r="705" spans="1:11" ht="15.75" customHeight="1" x14ac:dyDescent="0.25">
      <c r="A705" s="1"/>
      <c r="B705" s="1"/>
      <c r="C705" s="54"/>
      <c r="D705" s="1"/>
      <c r="E705" s="55"/>
      <c r="F705" s="56"/>
      <c r="G705" s="56"/>
      <c r="H705" s="56"/>
      <c r="I705" s="56"/>
      <c r="J705" s="56"/>
      <c r="K705" s="56"/>
    </row>
    <row r="706" spans="1:11" ht="15.75" customHeight="1" x14ac:dyDescent="0.25">
      <c r="A706" s="1"/>
      <c r="B706" s="1"/>
      <c r="C706" s="54"/>
      <c r="D706" s="1"/>
      <c r="E706" s="55"/>
      <c r="F706" s="56"/>
      <c r="G706" s="56"/>
      <c r="H706" s="56"/>
      <c r="I706" s="56"/>
      <c r="J706" s="56"/>
      <c r="K706" s="56"/>
    </row>
    <row r="707" spans="1:11" ht="15.75" customHeight="1" x14ac:dyDescent="0.25">
      <c r="A707" s="1"/>
      <c r="B707" s="1"/>
      <c r="C707" s="54"/>
      <c r="D707" s="1"/>
      <c r="E707" s="55"/>
      <c r="F707" s="56"/>
      <c r="G707" s="56"/>
      <c r="H707" s="56"/>
      <c r="I707" s="56"/>
      <c r="J707" s="56"/>
      <c r="K707" s="56"/>
    </row>
    <row r="708" spans="1:11" ht="15.75" customHeight="1" x14ac:dyDescent="0.25">
      <c r="A708" s="1"/>
      <c r="B708" s="1"/>
      <c r="C708" s="54"/>
      <c r="D708" s="1"/>
      <c r="E708" s="55"/>
      <c r="F708" s="56"/>
      <c r="G708" s="56"/>
      <c r="H708" s="56"/>
      <c r="I708" s="56"/>
      <c r="J708" s="56"/>
      <c r="K708" s="56"/>
    </row>
    <row r="709" spans="1:11" ht="15.75" customHeight="1" x14ac:dyDescent="0.25">
      <c r="A709" s="1"/>
      <c r="B709" s="1"/>
      <c r="C709" s="54"/>
      <c r="D709" s="1"/>
      <c r="E709" s="55"/>
      <c r="F709" s="56"/>
      <c r="G709" s="56"/>
      <c r="H709" s="56"/>
      <c r="I709" s="56"/>
      <c r="J709" s="56"/>
      <c r="K709" s="56"/>
    </row>
    <row r="710" spans="1:11" ht="15.75" customHeight="1" x14ac:dyDescent="0.25">
      <c r="A710" s="1"/>
      <c r="B710" s="1"/>
      <c r="C710" s="54"/>
      <c r="D710" s="1"/>
      <c r="E710" s="55"/>
      <c r="F710" s="56"/>
      <c r="G710" s="56"/>
      <c r="H710" s="56"/>
      <c r="I710" s="56"/>
      <c r="J710" s="56"/>
      <c r="K710" s="56"/>
    </row>
    <row r="711" spans="1:11" ht="15.75" customHeight="1" x14ac:dyDescent="0.25">
      <c r="A711" s="1"/>
      <c r="B711" s="1"/>
      <c r="C711" s="54"/>
      <c r="D711" s="1"/>
      <c r="E711" s="55"/>
      <c r="F711" s="56"/>
      <c r="G711" s="56"/>
      <c r="H711" s="56"/>
      <c r="I711" s="56"/>
      <c r="J711" s="56"/>
      <c r="K711" s="56"/>
    </row>
    <row r="712" spans="1:11" ht="15.75" customHeight="1" x14ac:dyDescent="0.25">
      <c r="A712" s="1"/>
      <c r="B712" s="1"/>
      <c r="C712" s="54"/>
      <c r="D712" s="1"/>
      <c r="E712" s="55"/>
      <c r="F712" s="56"/>
      <c r="G712" s="56"/>
      <c r="H712" s="56"/>
      <c r="I712" s="56"/>
      <c r="J712" s="56"/>
      <c r="K712" s="56"/>
    </row>
    <row r="713" spans="1:11" ht="15.75" customHeight="1" x14ac:dyDescent="0.25">
      <c r="A713" s="1"/>
      <c r="B713" s="1"/>
      <c r="C713" s="54"/>
      <c r="D713" s="1"/>
      <c r="E713" s="55"/>
      <c r="F713" s="56"/>
      <c r="G713" s="56"/>
      <c r="H713" s="56"/>
      <c r="I713" s="56"/>
      <c r="J713" s="56"/>
      <c r="K713" s="56"/>
    </row>
    <row r="714" spans="1:11" ht="15.75" customHeight="1" x14ac:dyDescent="0.25">
      <c r="A714" s="1"/>
      <c r="B714" s="1"/>
      <c r="C714" s="54"/>
      <c r="D714" s="1"/>
      <c r="E714" s="55"/>
      <c r="F714" s="56"/>
      <c r="G714" s="56"/>
      <c r="H714" s="56"/>
      <c r="I714" s="56"/>
      <c r="J714" s="56"/>
      <c r="K714" s="56"/>
    </row>
    <row r="715" spans="1:11" ht="15.75" customHeight="1" x14ac:dyDescent="0.25">
      <c r="A715" s="1"/>
      <c r="B715" s="1"/>
      <c r="C715" s="54"/>
      <c r="D715" s="1"/>
      <c r="E715" s="55"/>
      <c r="F715" s="56"/>
      <c r="G715" s="56"/>
      <c r="H715" s="56"/>
      <c r="I715" s="56"/>
      <c r="J715" s="56"/>
      <c r="K715" s="56"/>
    </row>
    <row r="716" spans="1:11" ht="15.75" customHeight="1" x14ac:dyDescent="0.25">
      <c r="A716" s="1"/>
      <c r="B716" s="1"/>
      <c r="C716" s="54"/>
      <c r="D716" s="1"/>
      <c r="E716" s="55"/>
      <c r="F716" s="56"/>
      <c r="G716" s="56"/>
      <c r="H716" s="56"/>
      <c r="I716" s="56"/>
      <c r="J716" s="56"/>
      <c r="K716" s="56"/>
    </row>
    <row r="717" spans="1:11" ht="15.75" customHeight="1" x14ac:dyDescent="0.25">
      <c r="A717" s="1"/>
      <c r="B717" s="1"/>
      <c r="C717" s="54"/>
      <c r="D717" s="1"/>
      <c r="E717" s="55"/>
      <c r="F717" s="56"/>
      <c r="G717" s="56"/>
      <c r="H717" s="56"/>
      <c r="I717" s="56"/>
      <c r="J717" s="56"/>
      <c r="K717" s="56"/>
    </row>
    <row r="718" spans="1:11" ht="15.75" customHeight="1" x14ac:dyDescent="0.25">
      <c r="A718" s="1"/>
      <c r="B718" s="1"/>
      <c r="C718" s="54"/>
      <c r="D718" s="1"/>
      <c r="E718" s="55"/>
      <c r="F718" s="56"/>
      <c r="G718" s="56"/>
      <c r="H718" s="56"/>
      <c r="I718" s="56"/>
      <c r="J718" s="56"/>
      <c r="K718" s="56"/>
    </row>
    <row r="719" spans="1:11" ht="15.75" customHeight="1" x14ac:dyDescent="0.25">
      <c r="A719" s="1"/>
      <c r="B719" s="1"/>
      <c r="C719" s="54"/>
      <c r="D719" s="1"/>
      <c r="E719" s="55"/>
      <c r="F719" s="56"/>
      <c r="G719" s="56"/>
      <c r="H719" s="56"/>
      <c r="I719" s="56"/>
      <c r="J719" s="56"/>
      <c r="K719" s="56"/>
    </row>
    <row r="720" spans="1:11" ht="15.75" customHeight="1" x14ac:dyDescent="0.25">
      <c r="A720" s="1"/>
      <c r="B720" s="1"/>
      <c r="C720" s="54"/>
      <c r="D720" s="1"/>
      <c r="E720" s="55"/>
      <c r="F720" s="56"/>
      <c r="G720" s="56"/>
      <c r="H720" s="56"/>
      <c r="I720" s="56"/>
      <c r="J720" s="56"/>
      <c r="K720" s="56"/>
    </row>
    <row r="721" spans="1:11" ht="15.75" customHeight="1" x14ac:dyDescent="0.25">
      <c r="A721" s="1"/>
      <c r="B721" s="1"/>
      <c r="C721" s="54"/>
      <c r="D721" s="1"/>
      <c r="E721" s="55"/>
      <c r="F721" s="56"/>
      <c r="G721" s="56"/>
      <c r="H721" s="56"/>
      <c r="I721" s="56"/>
      <c r="J721" s="56"/>
      <c r="K721" s="56"/>
    </row>
    <row r="722" spans="1:11" ht="15.75" customHeight="1" x14ac:dyDescent="0.25">
      <c r="A722" s="1"/>
      <c r="B722" s="1"/>
      <c r="C722" s="54"/>
      <c r="D722" s="1"/>
      <c r="E722" s="55"/>
      <c r="F722" s="56"/>
      <c r="G722" s="56"/>
      <c r="H722" s="56"/>
      <c r="I722" s="56"/>
      <c r="J722" s="56"/>
      <c r="K722" s="56"/>
    </row>
    <row r="723" spans="1:11" ht="15.75" customHeight="1" x14ac:dyDescent="0.25">
      <c r="A723" s="1"/>
      <c r="B723" s="1"/>
      <c r="C723" s="54"/>
      <c r="D723" s="1"/>
      <c r="E723" s="55"/>
      <c r="F723" s="56"/>
      <c r="G723" s="56"/>
      <c r="H723" s="56"/>
      <c r="I723" s="56"/>
      <c r="J723" s="56"/>
      <c r="K723" s="56"/>
    </row>
    <row r="724" spans="1:11" ht="15.75" customHeight="1" x14ac:dyDescent="0.25">
      <c r="A724" s="1"/>
      <c r="B724" s="1"/>
      <c r="C724" s="54"/>
      <c r="D724" s="1"/>
      <c r="E724" s="55"/>
      <c r="F724" s="56"/>
      <c r="G724" s="56"/>
      <c r="H724" s="56"/>
      <c r="I724" s="56"/>
      <c r="J724" s="56"/>
      <c r="K724" s="56"/>
    </row>
    <row r="725" spans="1:11" ht="15.75" customHeight="1" x14ac:dyDescent="0.25">
      <c r="A725" s="1"/>
      <c r="B725" s="1"/>
      <c r="C725" s="54"/>
      <c r="D725" s="1"/>
      <c r="E725" s="55"/>
      <c r="F725" s="56"/>
      <c r="G725" s="56"/>
      <c r="H725" s="56"/>
      <c r="I725" s="56"/>
      <c r="J725" s="56"/>
      <c r="K725" s="56"/>
    </row>
    <row r="726" spans="1:11" ht="15.75" customHeight="1" x14ac:dyDescent="0.25">
      <c r="A726" s="1"/>
      <c r="B726" s="1"/>
      <c r="C726" s="54"/>
      <c r="D726" s="1"/>
      <c r="E726" s="55"/>
      <c r="F726" s="56"/>
      <c r="G726" s="56"/>
      <c r="H726" s="56"/>
      <c r="I726" s="56"/>
      <c r="J726" s="56"/>
      <c r="K726" s="56"/>
    </row>
    <row r="727" spans="1:11" ht="15.75" customHeight="1" x14ac:dyDescent="0.25">
      <c r="A727" s="1"/>
      <c r="B727" s="1"/>
      <c r="C727" s="54"/>
      <c r="D727" s="1"/>
      <c r="E727" s="55"/>
      <c r="F727" s="56"/>
      <c r="G727" s="56"/>
      <c r="H727" s="56"/>
      <c r="I727" s="56"/>
      <c r="J727" s="56"/>
      <c r="K727" s="56"/>
    </row>
    <row r="728" spans="1:11" ht="15.75" customHeight="1" x14ac:dyDescent="0.25">
      <c r="A728" s="57"/>
      <c r="B728" s="57"/>
      <c r="C728" s="54"/>
      <c r="D728" s="1"/>
      <c r="E728" s="58"/>
      <c r="F728" s="56"/>
      <c r="G728" s="56"/>
      <c r="H728" s="59"/>
      <c r="I728" s="56"/>
      <c r="J728" s="56"/>
      <c r="K728" s="59"/>
    </row>
    <row r="729" spans="1:11" ht="15.75" customHeight="1" x14ac:dyDescent="0.25">
      <c r="A729" s="57"/>
      <c r="B729" s="57"/>
      <c r="C729" s="54"/>
      <c r="D729" s="1"/>
      <c r="E729" s="58"/>
      <c r="F729" s="56"/>
      <c r="G729" s="56"/>
      <c r="H729" s="59"/>
      <c r="I729" s="56"/>
      <c r="J729" s="56"/>
      <c r="K729" s="59"/>
    </row>
    <row r="730" spans="1:11" ht="15.75" customHeight="1" x14ac:dyDescent="0.25">
      <c r="A730" s="57"/>
      <c r="B730" s="57"/>
      <c r="C730" s="54"/>
      <c r="D730" s="1"/>
      <c r="E730" s="58"/>
      <c r="F730" s="56"/>
      <c r="G730" s="56"/>
      <c r="H730" s="59"/>
      <c r="I730" s="56"/>
      <c r="J730" s="56"/>
      <c r="K730" s="59"/>
    </row>
    <row r="731" spans="1:11" ht="15.75" customHeight="1" x14ac:dyDescent="0.25">
      <c r="A731" s="57"/>
      <c r="B731" s="57"/>
      <c r="C731" s="54"/>
      <c r="D731" s="1"/>
      <c r="E731" s="58"/>
      <c r="F731" s="56"/>
      <c r="G731" s="56"/>
      <c r="H731" s="59"/>
      <c r="I731" s="56"/>
      <c r="J731" s="56"/>
      <c r="K731" s="59"/>
    </row>
    <row r="732" spans="1:11" ht="15.75" customHeight="1" x14ac:dyDescent="0.25">
      <c r="A732" s="57"/>
      <c r="B732" s="57"/>
      <c r="C732" s="54"/>
      <c r="D732" s="1"/>
      <c r="E732" s="58"/>
      <c r="F732" s="56"/>
      <c r="G732" s="56"/>
      <c r="H732" s="59"/>
      <c r="I732" s="56"/>
      <c r="J732" s="56"/>
      <c r="K732" s="59"/>
    </row>
    <row r="733" spans="1:11" ht="15.75" customHeight="1" x14ac:dyDescent="0.25">
      <c r="A733" s="57"/>
      <c r="B733" s="57"/>
      <c r="C733" s="54"/>
      <c r="D733" s="1"/>
      <c r="E733" s="58"/>
      <c r="F733" s="56"/>
      <c r="G733" s="56"/>
      <c r="H733" s="59"/>
      <c r="I733" s="56"/>
      <c r="J733" s="56"/>
      <c r="K733" s="59"/>
    </row>
    <row r="734" spans="1:11" ht="15.75" customHeight="1" x14ac:dyDescent="0.25">
      <c r="A734" s="57"/>
      <c r="B734" s="57"/>
      <c r="C734" s="54"/>
      <c r="D734" s="1"/>
      <c r="E734" s="58"/>
      <c r="F734" s="56"/>
      <c r="G734" s="56"/>
      <c r="H734" s="59"/>
      <c r="I734" s="56"/>
      <c r="J734" s="56"/>
      <c r="K734" s="59"/>
    </row>
    <row r="735" spans="1:11" ht="15.75" customHeight="1" x14ac:dyDescent="0.25">
      <c r="A735" s="57"/>
      <c r="B735" s="57"/>
      <c r="C735" s="54"/>
      <c r="D735" s="1"/>
      <c r="E735" s="58"/>
      <c r="F735" s="56"/>
      <c r="G735" s="56"/>
      <c r="H735" s="59"/>
      <c r="I735" s="56"/>
      <c r="J735" s="56"/>
      <c r="K735" s="59"/>
    </row>
    <row r="736" spans="1:11" ht="15.75" customHeight="1" x14ac:dyDescent="0.25">
      <c r="A736" s="57"/>
      <c r="B736" s="57"/>
      <c r="C736" s="54"/>
      <c r="D736" s="1"/>
      <c r="E736" s="58"/>
      <c r="F736" s="56"/>
      <c r="G736" s="56"/>
      <c r="H736" s="59"/>
      <c r="I736" s="56"/>
      <c r="J736" s="56"/>
      <c r="K736" s="59"/>
    </row>
    <row r="737" spans="1:11" ht="15.75" customHeight="1" x14ac:dyDescent="0.25">
      <c r="A737" s="57"/>
      <c r="B737" s="57"/>
      <c r="C737" s="54"/>
      <c r="D737" s="1"/>
      <c r="E737" s="58"/>
      <c r="F737" s="56"/>
      <c r="G737" s="56"/>
      <c r="H737" s="59"/>
      <c r="I737" s="56"/>
      <c r="J737" s="56"/>
      <c r="K737" s="59"/>
    </row>
    <row r="738" spans="1:11" ht="15.75" customHeight="1" x14ac:dyDescent="0.25">
      <c r="A738" s="57"/>
      <c r="B738" s="57"/>
      <c r="C738" s="54"/>
      <c r="D738" s="1"/>
      <c r="E738" s="58"/>
      <c r="F738" s="56"/>
      <c r="G738" s="56"/>
      <c r="H738" s="59"/>
      <c r="I738" s="56"/>
      <c r="J738" s="56"/>
      <c r="K738" s="59"/>
    </row>
    <row r="739" spans="1:11" ht="15.75" customHeight="1" x14ac:dyDescent="0.25">
      <c r="A739" s="57"/>
      <c r="B739" s="57"/>
      <c r="C739" s="54"/>
      <c r="D739" s="1"/>
      <c r="E739" s="58"/>
      <c r="F739" s="56"/>
      <c r="G739" s="56"/>
      <c r="H739" s="59"/>
      <c r="I739" s="56"/>
      <c r="J739" s="56"/>
      <c r="K739" s="59"/>
    </row>
    <row r="740" spans="1:11" ht="15.75" customHeight="1" x14ac:dyDescent="0.25">
      <c r="A740" s="57"/>
      <c r="B740" s="57"/>
      <c r="C740" s="54"/>
      <c r="D740" s="1"/>
      <c r="E740" s="58"/>
      <c r="F740" s="56"/>
      <c r="G740" s="56"/>
      <c r="H740" s="59"/>
      <c r="I740" s="56"/>
      <c r="J740" s="56"/>
      <c r="K740" s="59"/>
    </row>
    <row r="741" spans="1:11" ht="15.75" customHeight="1" x14ac:dyDescent="0.25">
      <c r="A741" s="57"/>
      <c r="B741" s="57"/>
      <c r="C741" s="54"/>
      <c r="D741" s="1"/>
      <c r="E741" s="58"/>
      <c r="F741" s="56"/>
      <c r="G741" s="56"/>
      <c r="H741" s="59"/>
      <c r="I741" s="56"/>
      <c r="J741" s="56"/>
      <c r="K741" s="59"/>
    </row>
    <row r="742" spans="1:11" ht="15.75" customHeight="1" x14ac:dyDescent="0.25">
      <c r="A742" s="57"/>
      <c r="B742" s="57"/>
      <c r="C742" s="54"/>
      <c r="D742" s="1"/>
      <c r="E742" s="58"/>
      <c r="F742" s="56"/>
      <c r="G742" s="56"/>
      <c r="H742" s="59"/>
      <c r="I742" s="56"/>
      <c r="J742" s="56"/>
      <c r="K742" s="59"/>
    </row>
    <row r="743" spans="1:11" ht="15.75" customHeight="1" x14ac:dyDescent="0.25">
      <c r="A743" s="57"/>
      <c r="B743" s="57"/>
      <c r="C743" s="54"/>
      <c r="D743" s="1"/>
      <c r="E743" s="58"/>
      <c r="F743" s="56"/>
      <c r="G743" s="56"/>
      <c r="H743" s="59"/>
      <c r="I743" s="56"/>
      <c r="J743" s="56"/>
      <c r="K743" s="59"/>
    </row>
    <row r="744" spans="1:11" ht="15.75" customHeight="1" x14ac:dyDescent="0.25">
      <c r="A744" s="57"/>
      <c r="B744" s="57"/>
      <c r="C744" s="54"/>
      <c r="D744" s="1"/>
      <c r="E744" s="58"/>
      <c r="F744" s="56"/>
      <c r="G744" s="56"/>
      <c r="H744" s="59"/>
      <c r="I744" s="56"/>
      <c r="J744" s="56"/>
      <c r="K744" s="59"/>
    </row>
    <row r="745" spans="1:11" ht="15.75" customHeight="1" x14ac:dyDescent="0.25">
      <c r="A745" s="57"/>
      <c r="B745" s="57"/>
      <c r="C745" s="54"/>
      <c r="D745" s="1"/>
      <c r="E745" s="58"/>
      <c r="F745" s="56"/>
      <c r="G745" s="56"/>
      <c r="H745" s="59"/>
      <c r="I745" s="56"/>
      <c r="J745" s="56"/>
      <c r="K745" s="59"/>
    </row>
    <row r="746" spans="1:11" ht="15.75" customHeight="1" x14ac:dyDescent="0.25">
      <c r="A746" s="57"/>
      <c r="B746" s="57"/>
      <c r="C746" s="54"/>
      <c r="D746" s="1"/>
      <c r="E746" s="58"/>
      <c r="F746" s="56"/>
      <c r="G746" s="56"/>
      <c r="H746" s="59"/>
      <c r="I746" s="56"/>
      <c r="J746" s="56"/>
      <c r="K746" s="59"/>
    </row>
    <row r="747" spans="1:11" ht="15.75" customHeight="1" x14ac:dyDescent="0.25">
      <c r="A747" s="57"/>
      <c r="B747" s="57"/>
      <c r="C747" s="54"/>
      <c r="D747" s="1"/>
      <c r="E747" s="58"/>
      <c r="F747" s="56"/>
      <c r="G747" s="56"/>
      <c r="H747" s="59"/>
      <c r="I747" s="56"/>
      <c r="J747" s="56"/>
      <c r="K747" s="59"/>
    </row>
    <row r="748" spans="1:11" ht="15.75" customHeight="1" x14ac:dyDescent="0.25">
      <c r="A748" s="57"/>
      <c r="B748" s="57"/>
      <c r="C748" s="54"/>
      <c r="D748" s="1"/>
      <c r="E748" s="58"/>
      <c r="F748" s="56"/>
      <c r="G748" s="56"/>
      <c r="H748" s="59"/>
      <c r="I748" s="56"/>
      <c r="J748" s="56"/>
      <c r="K748" s="59"/>
    </row>
    <row r="749" spans="1:11" ht="15.75" customHeight="1" x14ac:dyDescent="0.25">
      <c r="A749" s="57"/>
      <c r="B749" s="57"/>
      <c r="C749" s="54"/>
      <c r="D749" s="1"/>
      <c r="E749" s="58"/>
      <c r="F749" s="56"/>
      <c r="G749" s="56"/>
      <c r="H749" s="59"/>
      <c r="I749" s="56"/>
      <c r="J749" s="56"/>
      <c r="K749" s="59"/>
    </row>
    <row r="750" spans="1:11" ht="15.75" customHeight="1" x14ac:dyDescent="0.25">
      <c r="A750" s="57"/>
      <c r="B750" s="57"/>
      <c r="C750" s="54"/>
      <c r="D750" s="1"/>
      <c r="E750" s="58"/>
      <c r="F750" s="56"/>
      <c r="G750" s="56"/>
      <c r="H750" s="59"/>
      <c r="I750" s="56"/>
      <c r="J750" s="56"/>
      <c r="K750" s="59"/>
    </row>
    <row r="751" spans="1:11" ht="15.75" customHeight="1" x14ac:dyDescent="0.25">
      <c r="A751" s="57"/>
      <c r="B751" s="57"/>
      <c r="C751" s="54"/>
      <c r="D751" s="1"/>
      <c r="E751" s="58"/>
      <c r="F751" s="56"/>
      <c r="G751" s="56"/>
      <c r="H751" s="59"/>
      <c r="I751" s="56"/>
      <c r="J751" s="56"/>
      <c r="K751" s="59"/>
    </row>
    <row r="752" spans="1:11" ht="15.75" customHeight="1" x14ac:dyDescent="0.25">
      <c r="A752" s="57"/>
      <c r="B752" s="57"/>
      <c r="C752" s="54"/>
      <c r="D752" s="1"/>
      <c r="E752" s="58"/>
      <c r="F752" s="56"/>
      <c r="G752" s="56"/>
      <c r="H752" s="59"/>
      <c r="I752" s="56"/>
      <c r="J752" s="56"/>
      <c r="K752" s="59"/>
    </row>
    <row r="753" spans="1:11" ht="15.75" customHeight="1" x14ac:dyDescent="0.25">
      <c r="A753" s="57"/>
      <c r="B753" s="57"/>
      <c r="C753" s="54"/>
      <c r="D753" s="1"/>
      <c r="E753" s="58"/>
      <c r="F753" s="56"/>
      <c r="G753" s="56"/>
      <c r="H753" s="59"/>
      <c r="I753" s="56"/>
      <c r="J753" s="56"/>
      <c r="K753" s="59"/>
    </row>
    <row r="754" spans="1:11" ht="15.75" customHeight="1" x14ac:dyDescent="0.25">
      <c r="A754" s="57"/>
      <c r="B754" s="57"/>
      <c r="C754" s="54"/>
      <c r="D754" s="1"/>
      <c r="E754" s="58"/>
      <c r="F754" s="56"/>
      <c r="G754" s="56"/>
      <c r="H754" s="59"/>
      <c r="I754" s="56"/>
      <c r="J754" s="56"/>
      <c r="K754" s="59"/>
    </row>
    <row r="755" spans="1:11" ht="15.75" customHeight="1" x14ac:dyDescent="0.25">
      <c r="A755" s="57"/>
      <c r="B755" s="57"/>
      <c r="C755" s="54"/>
      <c r="D755" s="1"/>
      <c r="E755" s="58"/>
      <c r="F755" s="56"/>
      <c r="G755" s="56"/>
      <c r="H755" s="59"/>
      <c r="I755" s="56"/>
      <c r="J755" s="56"/>
      <c r="K755" s="59"/>
    </row>
    <row r="756" spans="1:11" ht="15.75" customHeight="1" x14ac:dyDescent="0.25">
      <c r="A756" s="57"/>
      <c r="B756" s="57"/>
      <c r="C756" s="54"/>
      <c r="D756" s="1"/>
      <c r="E756" s="58"/>
      <c r="F756" s="56"/>
      <c r="G756" s="56"/>
      <c r="H756" s="59"/>
      <c r="I756" s="56"/>
      <c r="J756" s="56"/>
      <c r="K756" s="59"/>
    </row>
    <row r="757" spans="1:11" ht="15.75" customHeight="1" x14ac:dyDescent="0.25">
      <c r="A757" s="57"/>
      <c r="B757" s="57"/>
      <c r="C757" s="54"/>
      <c r="D757" s="1"/>
      <c r="E757" s="58"/>
      <c r="F757" s="56"/>
      <c r="G757" s="56"/>
      <c r="H757" s="59"/>
      <c r="I757" s="56"/>
      <c r="J757" s="56"/>
      <c r="K757" s="59"/>
    </row>
    <row r="758" spans="1:11" ht="15.75" customHeight="1" x14ac:dyDescent="0.25">
      <c r="A758" s="57"/>
      <c r="B758" s="57"/>
      <c r="C758" s="54"/>
      <c r="D758" s="1"/>
      <c r="E758" s="58"/>
      <c r="F758" s="56"/>
      <c r="G758" s="56"/>
      <c r="H758" s="59"/>
      <c r="I758" s="56"/>
      <c r="J758" s="56"/>
      <c r="K758" s="59"/>
    </row>
    <row r="759" spans="1:11" ht="15.75" customHeight="1" x14ac:dyDescent="0.25">
      <c r="A759" s="57"/>
      <c r="B759" s="57"/>
      <c r="C759" s="54"/>
      <c r="D759" s="1"/>
      <c r="E759" s="58"/>
      <c r="F759" s="56"/>
      <c r="G759" s="56"/>
      <c r="H759" s="59"/>
      <c r="I759" s="56"/>
      <c r="J759" s="56"/>
      <c r="K759" s="59"/>
    </row>
    <row r="760" spans="1:11" ht="15.75" customHeight="1" x14ac:dyDescent="0.25">
      <c r="A760" s="57"/>
      <c r="B760" s="57"/>
      <c r="C760" s="54"/>
      <c r="D760" s="1"/>
      <c r="E760" s="58"/>
      <c r="F760" s="56"/>
      <c r="G760" s="56"/>
      <c r="H760" s="59"/>
      <c r="I760" s="56"/>
      <c r="J760" s="56"/>
      <c r="K760" s="59"/>
    </row>
    <row r="761" spans="1:11" ht="15.75" customHeight="1" x14ac:dyDescent="0.25">
      <c r="A761" s="57"/>
      <c r="B761" s="57"/>
      <c r="C761" s="54"/>
      <c r="D761" s="1"/>
      <c r="E761" s="58"/>
      <c r="F761" s="56"/>
      <c r="G761" s="56"/>
      <c r="H761" s="59"/>
      <c r="I761" s="56"/>
      <c r="J761" s="56"/>
      <c r="K761" s="59"/>
    </row>
    <row r="762" spans="1:11" ht="15.75" customHeight="1" x14ac:dyDescent="0.25">
      <c r="A762" s="57"/>
      <c r="B762" s="57"/>
      <c r="C762" s="54"/>
      <c r="D762" s="1"/>
      <c r="E762" s="58"/>
      <c r="F762" s="56"/>
      <c r="G762" s="56"/>
      <c r="H762" s="59"/>
      <c r="I762" s="56"/>
      <c r="J762" s="56"/>
      <c r="K762" s="59"/>
    </row>
    <row r="763" spans="1:11" ht="15.75" customHeight="1" x14ac:dyDescent="0.25">
      <c r="A763" s="57"/>
      <c r="B763" s="57"/>
      <c r="C763" s="54"/>
      <c r="D763" s="1"/>
      <c r="E763" s="58"/>
      <c r="F763" s="56"/>
      <c r="G763" s="56"/>
      <c r="H763" s="59"/>
      <c r="I763" s="56"/>
      <c r="J763" s="56"/>
      <c r="K763" s="59"/>
    </row>
    <row r="764" spans="1:11" ht="15.75" customHeight="1" x14ac:dyDescent="0.25">
      <c r="A764" s="57"/>
      <c r="B764" s="57"/>
      <c r="C764" s="54"/>
      <c r="D764" s="1"/>
      <c r="E764" s="58"/>
      <c r="F764" s="56"/>
      <c r="G764" s="56"/>
      <c r="H764" s="59"/>
      <c r="I764" s="56"/>
      <c r="J764" s="56"/>
      <c r="K764" s="59"/>
    </row>
    <row r="765" spans="1:11" ht="15.75" customHeight="1" x14ac:dyDescent="0.25">
      <c r="A765" s="57"/>
      <c r="B765" s="57"/>
      <c r="C765" s="54"/>
      <c r="D765" s="1"/>
      <c r="E765" s="58"/>
      <c r="F765" s="56"/>
      <c r="G765" s="56"/>
      <c r="H765" s="59"/>
      <c r="I765" s="56"/>
      <c r="J765" s="56"/>
      <c r="K765" s="59"/>
    </row>
    <row r="766" spans="1:11" ht="15.75" customHeight="1" x14ac:dyDescent="0.25">
      <c r="A766" s="57"/>
      <c r="B766" s="57"/>
      <c r="C766" s="54"/>
      <c r="D766" s="1"/>
      <c r="E766" s="58"/>
      <c r="F766" s="56"/>
      <c r="G766" s="56"/>
      <c r="H766" s="59"/>
      <c r="I766" s="56"/>
      <c r="J766" s="56"/>
      <c r="K766" s="59"/>
    </row>
    <row r="767" spans="1:11" ht="15.75" customHeight="1" x14ac:dyDescent="0.25">
      <c r="A767" s="57"/>
      <c r="B767" s="57"/>
      <c r="C767" s="54"/>
      <c r="D767" s="1"/>
      <c r="E767" s="58"/>
      <c r="F767" s="56"/>
      <c r="G767" s="56"/>
      <c r="H767" s="59"/>
      <c r="I767" s="56"/>
      <c r="J767" s="56"/>
      <c r="K767" s="59"/>
    </row>
    <row r="768" spans="1:11" ht="15.75" customHeight="1" x14ac:dyDescent="0.25">
      <c r="A768" s="57"/>
      <c r="B768" s="57"/>
      <c r="C768" s="54"/>
      <c r="D768" s="1"/>
      <c r="E768" s="58"/>
      <c r="F768" s="56"/>
      <c r="G768" s="56"/>
      <c r="H768" s="59"/>
      <c r="I768" s="56"/>
      <c r="J768" s="56"/>
      <c r="K768" s="59"/>
    </row>
    <row r="769" spans="1:11" ht="15.75" customHeight="1" x14ac:dyDescent="0.25">
      <c r="A769" s="57"/>
      <c r="B769" s="57"/>
      <c r="C769" s="54"/>
      <c r="D769" s="1"/>
      <c r="E769" s="58"/>
      <c r="F769" s="56"/>
      <c r="G769" s="56"/>
      <c r="H769" s="59"/>
      <c r="I769" s="56"/>
      <c r="J769" s="56"/>
      <c r="K769" s="59"/>
    </row>
    <row r="770" spans="1:11" ht="15.75" customHeight="1" x14ac:dyDescent="0.25">
      <c r="A770" s="57"/>
      <c r="B770" s="57"/>
      <c r="C770" s="54"/>
      <c r="D770" s="1"/>
      <c r="E770" s="58"/>
      <c r="F770" s="56"/>
      <c r="G770" s="56"/>
      <c r="H770" s="59"/>
      <c r="I770" s="56"/>
      <c r="J770" s="56"/>
      <c r="K770" s="59"/>
    </row>
    <row r="771" spans="1:11" ht="15.75" customHeight="1" x14ac:dyDescent="0.25">
      <c r="A771" s="57"/>
      <c r="B771" s="57"/>
      <c r="C771" s="54"/>
      <c r="D771" s="1"/>
      <c r="E771" s="58"/>
      <c r="F771" s="56"/>
      <c r="G771" s="56"/>
      <c r="H771" s="59"/>
      <c r="I771" s="56"/>
      <c r="J771" s="56"/>
      <c r="K771" s="59"/>
    </row>
    <row r="772" spans="1:11" ht="15.75" customHeight="1" x14ac:dyDescent="0.25">
      <c r="A772" s="57"/>
      <c r="B772" s="57"/>
      <c r="C772" s="54"/>
      <c r="D772" s="1"/>
      <c r="E772" s="58"/>
      <c r="F772" s="56"/>
      <c r="G772" s="56"/>
      <c r="H772" s="59"/>
      <c r="I772" s="56"/>
      <c r="J772" s="56"/>
      <c r="K772" s="59"/>
    </row>
    <row r="773" spans="1:11" ht="15.75" customHeight="1" x14ac:dyDescent="0.25">
      <c r="A773" s="57"/>
      <c r="B773" s="57"/>
      <c r="C773" s="54"/>
      <c r="D773" s="1"/>
      <c r="E773" s="58"/>
      <c r="F773" s="56"/>
      <c r="G773" s="56"/>
      <c r="H773" s="59"/>
      <c r="I773" s="56"/>
      <c r="J773" s="56"/>
      <c r="K773" s="59"/>
    </row>
    <row r="774" spans="1:11" ht="15.75" customHeight="1" x14ac:dyDescent="0.25">
      <c r="A774" s="57"/>
      <c r="B774" s="57"/>
      <c r="C774" s="54"/>
      <c r="D774" s="1"/>
      <c r="E774" s="58"/>
      <c r="F774" s="56"/>
      <c r="G774" s="56"/>
      <c r="H774" s="59"/>
      <c r="I774" s="56"/>
      <c r="J774" s="56"/>
      <c r="K774" s="59"/>
    </row>
    <row r="775" spans="1:11" ht="15.75" customHeight="1" x14ac:dyDescent="0.25">
      <c r="A775" s="57"/>
      <c r="B775" s="57"/>
      <c r="C775" s="54"/>
      <c r="D775" s="1"/>
      <c r="E775" s="58"/>
      <c r="F775" s="56"/>
      <c r="G775" s="56"/>
      <c r="H775" s="59"/>
      <c r="I775" s="56"/>
      <c r="J775" s="56"/>
      <c r="K775" s="59"/>
    </row>
    <row r="776" spans="1:11" ht="15.75" customHeight="1" x14ac:dyDescent="0.25">
      <c r="A776" s="57"/>
      <c r="B776" s="57"/>
      <c r="C776" s="54"/>
      <c r="D776" s="1"/>
      <c r="E776" s="58"/>
      <c r="F776" s="56"/>
      <c r="G776" s="56"/>
      <c r="H776" s="59"/>
      <c r="I776" s="56"/>
      <c r="J776" s="56"/>
      <c r="K776" s="59"/>
    </row>
    <row r="777" spans="1:11" ht="15.75" customHeight="1" x14ac:dyDescent="0.25">
      <c r="A777" s="57"/>
      <c r="B777" s="57"/>
      <c r="C777" s="54"/>
      <c r="D777" s="1"/>
      <c r="E777" s="58"/>
      <c r="F777" s="56"/>
      <c r="G777" s="56"/>
      <c r="H777" s="59"/>
      <c r="I777" s="56"/>
      <c r="J777" s="56"/>
      <c r="K777" s="59"/>
    </row>
    <row r="778" spans="1:11" ht="15.75" customHeight="1" x14ac:dyDescent="0.25">
      <c r="A778" s="57"/>
      <c r="B778" s="57"/>
      <c r="C778" s="54"/>
      <c r="D778" s="1"/>
      <c r="E778" s="58"/>
      <c r="F778" s="56"/>
      <c r="G778" s="56"/>
      <c r="H778" s="59"/>
      <c r="I778" s="56"/>
      <c r="J778" s="56"/>
      <c r="K778" s="59"/>
    </row>
    <row r="779" spans="1:11" ht="15.75" customHeight="1" x14ac:dyDescent="0.25">
      <c r="A779" s="57"/>
      <c r="B779" s="57"/>
      <c r="C779" s="54"/>
      <c r="D779" s="1"/>
      <c r="E779" s="58"/>
      <c r="F779" s="56"/>
      <c r="G779" s="56"/>
      <c r="H779" s="59"/>
      <c r="I779" s="56"/>
      <c r="J779" s="56"/>
      <c r="K779" s="59"/>
    </row>
    <row r="780" spans="1:11" ht="15.75" customHeight="1" x14ac:dyDescent="0.25">
      <c r="A780" s="57"/>
      <c r="B780" s="57"/>
      <c r="C780" s="54"/>
      <c r="D780" s="1"/>
      <c r="E780" s="58"/>
      <c r="F780" s="56"/>
      <c r="G780" s="56"/>
      <c r="H780" s="59"/>
      <c r="I780" s="56"/>
      <c r="J780" s="56"/>
      <c r="K780" s="59"/>
    </row>
    <row r="781" spans="1:11" ht="15.75" customHeight="1" x14ac:dyDescent="0.25">
      <c r="A781" s="57"/>
      <c r="B781" s="57"/>
      <c r="C781" s="54"/>
      <c r="D781" s="1"/>
      <c r="E781" s="58"/>
      <c r="F781" s="56"/>
      <c r="G781" s="56"/>
      <c r="H781" s="59"/>
      <c r="I781" s="56"/>
      <c r="J781" s="56"/>
      <c r="K781" s="59"/>
    </row>
    <row r="782" spans="1:11" ht="15.75" customHeight="1" x14ac:dyDescent="0.25">
      <c r="A782" s="57"/>
      <c r="B782" s="57"/>
      <c r="C782" s="54"/>
      <c r="D782" s="1"/>
      <c r="E782" s="58"/>
      <c r="F782" s="56"/>
      <c r="G782" s="56"/>
      <c r="H782" s="59"/>
      <c r="I782" s="56"/>
      <c r="J782" s="56"/>
      <c r="K782" s="59"/>
    </row>
    <row r="783" spans="1:11" ht="15.75" customHeight="1" x14ac:dyDescent="0.25">
      <c r="A783" s="57"/>
      <c r="B783" s="57"/>
      <c r="C783" s="54"/>
      <c r="D783" s="1"/>
      <c r="E783" s="58"/>
      <c r="F783" s="56"/>
      <c r="G783" s="56"/>
      <c r="H783" s="59"/>
      <c r="I783" s="56"/>
      <c r="J783" s="56"/>
      <c r="K783" s="59"/>
    </row>
    <row r="784" spans="1:11" ht="15.75" customHeight="1" x14ac:dyDescent="0.25">
      <c r="A784" s="57"/>
      <c r="B784" s="57"/>
      <c r="C784" s="54"/>
      <c r="D784" s="1"/>
      <c r="E784" s="58"/>
      <c r="F784" s="56"/>
      <c r="G784" s="56"/>
      <c r="H784" s="59"/>
      <c r="I784" s="56"/>
      <c r="J784" s="56"/>
      <c r="K784" s="59"/>
    </row>
    <row r="785" spans="1:11" ht="15.75" customHeight="1" x14ac:dyDescent="0.25">
      <c r="A785" s="57"/>
      <c r="B785" s="57"/>
      <c r="C785" s="54"/>
      <c r="D785" s="1"/>
      <c r="E785" s="58"/>
      <c r="F785" s="56"/>
      <c r="G785" s="56"/>
      <c r="H785" s="59"/>
      <c r="I785" s="56"/>
      <c r="J785" s="56"/>
      <c r="K785" s="59"/>
    </row>
    <row r="786" spans="1:11" ht="15.75" customHeight="1" x14ac:dyDescent="0.25">
      <c r="A786" s="57"/>
      <c r="B786" s="57"/>
      <c r="C786" s="54"/>
      <c r="D786" s="1"/>
      <c r="E786" s="58"/>
      <c r="F786" s="56"/>
      <c r="G786" s="56"/>
      <c r="H786" s="59"/>
      <c r="I786" s="56"/>
      <c r="J786" s="56"/>
      <c r="K786" s="59"/>
    </row>
    <row r="787" spans="1:11" ht="15.75" customHeight="1" x14ac:dyDescent="0.25">
      <c r="A787" s="57"/>
      <c r="B787" s="57"/>
      <c r="C787" s="54"/>
      <c r="D787" s="1"/>
      <c r="E787" s="58"/>
      <c r="F787" s="56"/>
      <c r="G787" s="56"/>
      <c r="H787" s="59"/>
      <c r="I787" s="56"/>
      <c r="J787" s="56"/>
      <c r="K787" s="59"/>
    </row>
    <row r="788" spans="1:11" ht="15.75" customHeight="1" x14ac:dyDescent="0.25">
      <c r="A788" s="57"/>
      <c r="B788" s="57"/>
      <c r="C788" s="54"/>
      <c r="D788" s="1"/>
      <c r="E788" s="58"/>
      <c r="F788" s="56"/>
      <c r="G788" s="56"/>
      <c r="H788" s="59"/>
      <c r="I788" s="56"/>
      <c r="J788" s="56"/>
      <c r="K788" s="59"/>
    </row>
    <row r="789" spans="1:11" ht="15.75" customHeight="1" x14ac:dyDescent="0.25">
      <c r="A789" s="57"/>
      <c r="B789" s="57"/>
      <c r="C789" s="54"/>
      <c r="D789" s="1"/>
      <c r="E789" s="58"/>
      <c r="F789" s="56"/>
      <c r="G789" s="56"/>
      <c r="H789" s="59"/>
      <c r="I789" s="56"/>
      <c r="J789" s="56"/>
      <c r="K789" s="59"/>
    </row>
    <row r="790" spans="1:11" ht="15.75" customHeight="1" x14ac:dyDescent="0.25">
      <c r="A790" s="57"/>
      <c r="B790" s="57"/>
      <c r="C790" s="54"/>
      <c r="D790" s="1"/>
      <c r="E790" s="58"/>
      <c r="F790" s="56"/>
      <c r="G790" s="56"/>
      <c r="H790" s="59"/>
      <c r="I790" s="56"/>
      <c r="J790" s="56"/>
      <c r="K790" s="59"/>
    </row>
    <row r="791" spans="1:11" ht="15.75" customHeight="1" x14ac:dyDescent="0.25">
      <c r="A791" s="57"/>
      <c r="B791" s="57"/>
      <c r="C791" s="54"/>
      <c r="D791" s="1"/>
      <c r="E791" s="58"/>
      <c r="F791" s="56"/>
      <c r="G791" s="56"/>
      <c r="H791" s="59"/>
      <c r="I791" s="56"/>
      <c r="J791" s="56"/>
      <c r="K791" s="59"/>
    </row>
    <row r="792" spans="1:11" ht="15.75" customHeight="1" x14ac:dyDescent="0.25">
      <c r="A792" s="57"/>
      <c r="B792" s="57"/>
      <c r="C792" s="54"/>
      <c r="D792" s="1"/>
      <c r="E792" s="58"/>
      <c r="F792" s="56"/>
      <c r="G792" s="56"/>
      <c r="H792" s="59"/>
      <c r="I792" s="56"/>
      <c r="J792" s="56"/>
      <c r="K792" s="59"/>
    </row>
    <row r="793" spans="1:11" ht="15.75" customHeight="1" x14ac:dyDescent="0.25">
      <c r="A793" s="57"/>
      <c r="B793" s="57"/>
      <c r="C793" s="54"/>
      <c r="D793" s="1"/>
      <c r="E793" s="58"/>
      <c r="F793" s="56"/>
      <c r="G793" s="56"/>
      <c r="H793" s="59"/>
      <c r="I793" s="56"/>
      <c r="J793" s="56"/>
      <c r="K793" s="59"/>
    </row>
    <row r="794" spans="1:11" ht="15.75" customHeight="1" x14ac:dyDescent="0.25">
      <c r="A794" s="57"/>
      <c r="B794" s="57"/>
      <c r="C794" s="54"/>
      <c r="D794" s="1"/>
      <c r="E794" s="58"/>
      <c r="F794" s="56"/>
      <c r="G794" s="56"/>
      <c r="H794" s="59"/>
      <c r="I794" s="56"/>
      <c r="J794" s="56"/>
      <c r="K794" s="59"/>
    </row>
    <row r="795" spans="1:11" ht="15.75" customHeight="1" x14ac:dyDescent="0.25">
      <c r="A795" s="57"/>
      <c r="B795" s="57"/>
      <c r="C795" s="54"/>
      <c r="D795" s="1"/>
      <c r="E795" s="58"/>
      <c r="F795" s="56"/>
      <c r="G795" s="56"/>
      <c r="H795" s="59"/>
      <c r="I795" s="56"/>
      <c r="J795" s="56"/>
      <c r="K795" s="59"/>
    </row>
    <row r="796" spans="1:11" ht="15.75" customHeight="1" x14ac:dyDescent="0.25">
      <c r="A796" s="57"/>
      <c r="B796" s="57"/>
      <c r="C796" s="54"/>
      <c r="D796" s="1"/>
      <c r="E796" s="58"/>
      <c r="F796" s="56"/>
      <c r="G796" s="56"/>
      <c r="H796" s="59"/>
      <c r="I796" s="56"/>
      <c r="J796" s="56"/>
      <c r="K796" s="59"/>
    </row>
    <row r="797" spans="1:11" ht="15.75" customHeight="1" x14ac:dyDescent="0.25">
      <c r="A797" s="57"/>
      <c r="B797" s="57"/>
      <c r="C797" s="54"/>
      <c r="D797" s="1"/>
      <c r="E797" s="58"/>
      <c r="F797" s="56"/>
      <c r="G797" s="56"/>
      <c r="H797" s="59"/>
      <c r="I797" s="56"/>
      <c r="J797" s="56"/>
      <c r="K797" s="59"/>
    </row>
    <row r="798" spans="1:11" ht="15.75" customHeight="1" x14ac:dyDescent="0.25">
      <c r="A798" s="57"/>
      <c r="B798" s="57"/>
      <c r="C798" s="54"/>
      <c r="D798" s="1"/>
      <c r="E798" s="58"/>
      <c r="F798" s="56"/>
      <c r="G798" s="56"/>
      <c r="H798" s="59"/>
      <c r="I798" s="56"/>
      <c r="J798" s="56"/>
      <c r="K798" s="59"/>
    </row>
    <row r="799" spans="1:11" ht="15.75" customHeight="1" x14ac:dyDescent="0.25">
      <c r="A799" s="57"/>
      <c r="B799" s="57"/>
      <c r="C799" s="54"/>
      <c r="D799" s="1"/>
      <c r="E799" s="58"/>
      <c r="F799" s="56"/>
      <c r="G799" s="56"/>
      <c r="H799" s="59"/>
      <c r="I799" s="56"/>
      <c r="J799" s="56"/>
      <c r="K799" s="59"/>
    </row>
    <row r="800" spans="1:11" ht="15.75" customHeight="1" x14ac:dyDescent="0.25">
      <c r="A800" s="57"/>
      <c r="B800" s="57"/>
      <c r="C800" s="54"/>
      <c r="D800" s="1"/>
      <c r="E800" s="58"/>
      <c r="F800" s="56"/>
      <c r="G800" s="56"/>
      <c r="H800" s="59"/>
      <c r="I800" s="56"/>
      <c r="J800" s="56"/>
      <c r="K800" s="59"/>
    </row>
    <row r="801" spans="1:11" ht="15.75" customHeight="1" x14ac:dyDescent="0.25">
      <c r="A801" s="57"/>
      <c r="B801" s="57"/>
      <c r="C801" s="54"/>
      <c r="D801" s="1"/>
      <c r="E801" s="58"/>
      <c r="F801" s="56"/>
      <c r="G801" s="56"/>
      <c r="H801" s="59"/>
      <c r="I801" s="56"/>
      <c r="J801" s="56"/>
      <c r="K801" s="59"/>
    </row>
    <row r="802" spans="1:11" ht="15.75" customHeight="1" x14ac:dyDescent="0.25">
      <c r="A802" s="57"/>
      <c r="B802" s="57"/>
      <c r="C802" s="54"/>
      <c r="D802" s="1"/>
      <c r="E802" s="58"/>
      <c r="F802" s="56"/>
      <c r="G802" s="56"/>
      <c r="H802" s="59"/>
      <c r="I802" s="56"/>
      <c r="J802" s="56"/>
      <c r="K802" s="59"/>
    </row>
    <row r="803" spans="1:11" ht="15.75" customHeight="1" x14ac:dyDescent="0.25">
      <c r="A803" s="57"/>
      <c r="B803" s="57"/>
      <c r="C803" s="54"/>
      <c r="D803" s="1"/>
      <c r="E803" s="58"/>
      <c r="F803" s="56"/>
      <c r="G803" s="56"/>
      <c r="H803" s="59"/>
      <c r="I803" s="56"/>
      <c r="J803" s="56"/>
      <c r="K803" s="59"/>
    </row>
    <row r="804" spans="1:11" ht="15.75" customHeight="1" x14ac:dyDescent="0.25">
      <c r="A804" s="57"/>
      <c r="B804" s="57"/>
      <c r="C804" s="54"/>
      <c r="D804" s="1"/>
      <c r="E804" s="58"/>
      <c r="F804" s="56"/>
      <c r="G804" s="56"/>
      <c r="H804" s="59"/>
      <c r="I804" s="56"/>
      <c r="J804" s="56"/>
      <c r="K804" s="59"/>
    </row>
    <row r="805" spans="1:11" ht="15.75" customHeight="1" x14ac:dyDescent="0.25">
      <c r="A805" s="57"/>
      <c r="B805" s="57"/>
      <c r="C805" s="54"/>
      <c r="D805" s="1"/>
      <c r="E805" s="58"/>
      <c r="F805" s="56"/>
      <c r="G805" s="56"/>
      <c r="H805" s="59"/>
      <c r="I805" s="56"/>
      <c r="J805" s="56"/>
      <c r="K805" s="59"/>
    </row>
    <row r="806" spans="1:11" ht="15.75" customHeight="1" x14ac:dyDescent="0.25">
      <c r="A806" s="57"/>
      <c r="B806" s="57"/>
      <c r="C806" s="54"/>
      <c r="D806" s="1"/>
      <c r="E806" s="58"/>
      <c r="F806" s="56"/>
      <c r="G806" s="56"/>
      <c r="H806" s="59"/>
      <c r="I806" s="56"/>
      <c r="J806" s="56"/>
      <c r="K806" s="59"/>
    </row>
    <row r="807" spans="1:11" ht="15.75" customHeight="1" x14ac:dyDescent="0.25">
      <c r="A807" s="57"/>
      <c r="B807" s="57"/>
      <c r="C807" s="54"/>
      <c r="D807" s="1"/>
      <c r="E807" s="58"/>
      <c r="F807" s="56"/>
      <c r="G807" s="56"/>
      <c r="H807" s="59"/>
      <c r="I807" s="56"/>
      <c r="J807" s="56"/>
      <c r="K807" s="59"/>
    </row>
    <row r="808" spans="1:11" ht="15.75" customHeight="1" x14ac:dyDescent="0.25">
      <c r="A808" s="57"/>
      <c r="B808" s="57"/>
      <c r="C808" s="54"/>
      <c r="D808" s="1"/>
      <c r="E808" s="58"/>
      <c r="F808" s="56"/>
      <c r="G808" s="56"/>
      <c r="H808" s="59"/>
      <c r="I808" s="56"/>
      <c r="J808" s="56"/>
      <c r="K808" s="59"/>
    </row>
    <row r="809" spans="1:11" ht="15.75" customHeight="1" x14ac:dyDescent="0.25">
      <c r="A809" s="57"/>
      <c r="B809" s="57"/>
      <c r="C809" s="54"/>
      <c r="D809" s="1"/>
      <c r="E809" s="58"/>
      <c r="F809" s="56"/>
      <c r="G809" s="56"/>
      <c r="H809" s="59"/>
      <c r="I809" s="56"/>
      <c r="J809" s="56"/>
      <c r="K809" s="59"/>
    </row>
    <row r="810" spans="1:11" ht="15.75" customHeight="1" x14ac:dyDescent="0.25">
      <c r="A810" s="57"/>
      <c r="B810" s="57"/>
      <c r="C810" s="54"/>
      <c r="D810" s="1"/>
      <c r="E810" s="58"/>
      <c r="F810" s="56"/>
      <c r="G810" s="56"/>
      <c r="H810" s="59"/>
      <c r="I810" s="56"/>
      <c r="J810" s="56"/>
      <c r="K810" s="59"/>
    </row>
    <row r="811" spans="1:11" ht="15.75" customHeight="1" x14ac:dyDescent="0.25">
      <c r="A811" s="57"/>
      <c r="B811" s="57"/>
      <c r="C811" s="54"/>
      <c r="D811" s="1"/>
      <c r="E811" s="58"/>
      <c r="F811" s="56"/>
      <c r="G811" s="56"/>
      <c r="H811" s="59"/>
      <c r="I811" s="56"/>
      <c r="J811" s="56"/>
      <c r="K811" s="59"/>
    </row>
    <row r="812" spans="1:11" ht="15.75" customHeight="1" x14ac:dyDescent="0.25">
      <c r="A812" s="57"/>
      <c r="B812" s="57"/>
      <c r="C812" s="54"/>
      <c r="D812" s="1"/>
      <c r="E812" s="58"/>
      <c r="F812" s="56"/>
      <c r="G812" s="56"/>
      <c r="H812" s="59"/>
      <c r="I812" s="56"/>
      <c r="J812" s="56"/>
      <c r="K812" s="59"/>
    </row>
    <row r="813" spans="1:11" ht="15.75" customHeight="1" x14ac:dyDescent="0.25">
      <c r="A813" s="57"/>
      <c r="B813" s="57"/>
      <c r="C813" s="54"/>
      <c r="D813" s="1"/>
      <c r="E813" s="58"/>
      <c r="F813" s="56"/>
      <c r="G813" s="56"/>
      <c r="H813" s="59"/>
      <c r="I813" s="56"/>
      <c r="J813" s="56"/>
      <c r="K813" s="59"/>
    </row>
    <row r="814" spans="1:11" ht="15.75" customHeight="1" x14ac:dyDescent="0.25">
      <c r="A814" s="57"/>
      <c r="B814" s="57"/>
      <c r="C814" s="54"/>
      <c r="D814" s="1"/>
      <c r="E814" s="58"/>
      <c r="F814" s="56"/>
      <c r="G814" s="56"/>
      <c r="H814" s="59"/>
      <c r="I814" s="56"/>
      <c r="J814" s="56"/>
      <c r="K814" s="59"/>
    </row>
    <row r="815" spans="1:11" ht="15.75" customHeight="1" x14ac:dyDescent="0.25">
      <c r="A815" s="57"/>
      <c r="B815" s="57"/>
      <c r="C815" s="54"/>
      <c r="D815" s="1"/>
      <c r="E815" s="58"/>
      <c r="F815" s="56"/>
      <c r="G815" s="56"/>
      <c r="H815" s="59"/>
      <c r="I815" s="56"/>
      <c r="J815" s="56"/>
      <c r="K815" s="59"/>
    </row>
    <row r="816" spans="1:11" ht="15.75" customHeight="1" x14ac:dyDescent="0.25">
      <c r="A816" s="57"/>
      <c r="B816" s="57"/>
      <c r="C816" s="54"/>
      <c r="D816" s="1"/>
      <c r="E816" s="58"/>
      <c r="F816" s="56"/>
      <c r="G816" s="56"/>
      <c r="H816" s="59"/>
      <c r="I816" s="56"/>
      <c r="J816" s="56"/>
      <c r="K816" s="59"/>
    </row>
    <row r="817" spans="1:11" ht="15.75" customHeight="1" x14ac:dyDescent="0.25">
      <c r="A817" s="57"/>
      <c r="B817" s="57"/>
      <c r="C817" s="54"/>
      <c r="D817" s="1"/>
      <c r="E817" s="58"/>
      <c r="F817" s="56"/>
      <c r="G817" s="56"/>
      <c r="H817" s="59"/>
      <c r="I817" s="56"/>
      <c r="J817" s="56"/>
      <c r="K817" s="59"/>
    </row>
    <row r="818" spans="1:11" ht="15.75" customHeight="1" x14ac:dyDescent="0.25">
      <c r="A818" s="57"/>
      <c r="B818" s="57"/>
      <c r="C818" s="54"/>
      <c r="D818" s="1"/>
      <c r="E818" s="58"/>
      <c r="F818" s="56"/>
      <c r="G818" s="56"/>
      <c r="H818" s="59"/>
      <c r="I818" s="56"/>
      <c r="J818" s="56"/>
      <c r="K818" s="59"/>
    </row>
    <row r="819" spans="1:11" ht="15.75" customHeight="1" x14ac:dyDescent="0.25">
      <c r="A819" s="57"/>
      <c r="B819" s="57"/>
      <c r="C819" s="54"/>
      <c r="D819" s="1"/>
      <c r="E819" s="58"/>
      <c r="F819" s="56"/>
      <c r="G819" s="56"/>
      <c r="H819" s="59"/>
      <c r="I819" s="56"/>
      <c r="J819" s="56"/>
      <c r="K819" s="59"/>
    </row>
    <row r="820" spans="1:11" ht="15.75" customHeight="1" x14ac:dyDescent="0.25">
      <c r="A820" s="57"/>
      <c r="B820" s="57"/>
      <c r="C820" s="54"/>
      <c r="D820" s="1"/>
      <c r="E820" s="58"/>
      <c r="F820" s="56"/>
      <c r="G820" s="56"/>
      <c r="H820" s="59"/>
      <c r="I820" s="56"/>
      <c r="J820" s="56"/>
      <c r="K820" s="59"/>
    </row>
    <row r="821" spans="1:11" ht="15.75" customHeight="1" x14ac:dyDescent="0.25">
      <c r="A821" s="57"/>
      <c r="B821" s="57"/>
      <c r="C821" s="54"/>
      <c r="D821" s="1"/>
      <c r="E821" s="58"/>
      <c r="F821" s="56"/>
      <c r="G821" s="56"/>
      <c r="H821" s="59"/>
      <c r="I821" s="56"/>
      <c r="J821" s="56"/>
      <c r="K821" s="59"/>
    </row>
    <row r="822" spans="1:11" ht="15.75" customHeight="1" x14ac:dyDescent="0.25">
      <c r="A822" s="57"/>
      <c r="B822" s="57"/>
      <c r="C822" s="54"/>
      <c r="D822" s="1"/>
      <c r="E822" s="58"/>
      <c r="F822" s="56"/>
      <c r="G822" s="56"/>
      <c r="H822" s="59"/>
      <c r="I822" s="56"/>
      <c r="J822" s="56"/>
      <c r="K822" s="59"/>
    </row>
    <row r="823" spans="1:11" ht="15.75" customHeight="1" x14ac:dyDescent="0.25">
      <c r="A823" s="57"/>
      <c r="B823" s="57"/>
      <c r="C823" s="54"/>
      <c r="D823" s="1"/>
      <c r="E823" s="58"/>
      <c r="F823" s="56"/>
      <c r="G823" s="56"/>
      <c r="H823" s="59"/>
      <c r="I823" s="56"/>
      <c r="J823" s="56"/>
      <c r="K823" s="59"/>
    </row>
    <row r="824" spans="1:11" ht="15.75" customHeight="1" x14ac:dyDescent="0.25">
      <c r="A824" s="57"/>
      <c r="B824" s="57"/>
      <c r="C824" s="54"/>
      <c r="D824" s="1"/>
      <c r="E824" s="58"/>
      <c r="F824" s="56"/>
      <c r="G824" s="56"/>
      <c r="H824" s="59"/>
      <c r="I824" s="56"/>
      <c r="J824" s="56"/>
      <c r="K824" s="59"/>
    </row>
    <row r="825" spans="1:11" ht="15.75" customHeight="1" x14ac:dyDescent="0.25">
      <c r="A825" s="57"/>
      <c r="B825" s="57"/>
      <c r="C825" s="54"/>
      <c r="D825" s="1"/>
      <c r="E825" s="58"/>
      <c r="F825" s="56"/>
      <c r="G825" s="56"/>
      <c r="H825" s="59"/>
      <c r="I825" s="56"/>
      <c r="J825" s="56"/>
      <c r="K825" s="59"/>
    </row>
    <row r="826" spans="1:11" ht="15.75" customHeight="1" x14ac:dyDescent="0.25">
      <c r="A826" s="57"/>
      <c r="B826" s="57"/>
      <c r="C826" s="54"/>
      <c r="D826" s="1"/>
      <c r="E826" s="58"/>
      <c r="F826" s="56"/>
      <c r="G826" s="56"/>
      <c r="H826" s="59"/>
      <c r="I826" s="56"/>
      <c r="J826" s="56"/>
      <c r="K826" s="59"/>
    </row>
    <row r="827" spans="1:11" ht="15.75" customHeight="1" x14ac:dyDescent="0.25">
      <c r="A827" s="57"/>
      <c r="B827" s="57"/>
      <c r="C827" s="54"/>
      <c r="D827" s="1"/>
      <c r="E827" s="58"/>
      <c r="F827" s="56"/>
      <c r="G827" s="56"/>
      <c r="H827" s="59"/>
      <c r="I827" s="56"/>
      <c r="J827" s="56"/>
      <c r="K827" s="59"/>
    </row>
    <row r="828" spans="1:11" ht="15.75" customHeight="1" x14ac:dyDescent="0.25">
      <c r="A828" s="57"/>
      <c r="B828" s="57"/>
      <c r="C828" s="54"/>
      <c r="D828" s="1"/>
      <c r="E828" s="58"/>
      <c r="F828" s="56"/>
      <c r="G828" s="56"/>
      <c r="H828" s="59"/>
      <c r="I828" s="56"/>
      <c r="J828" s="56"/>
      <c r="K828" s="59"/>
    </row>
    <row r="829" spans="1:11" ht="15.75" customHeight="1" x14ac:dyDescent="0.25">
      <c r="A829" s="57"/>
      <c r="B829" s="57"/>
      <c r="C829" s="54"/>
      <c r="D829" s="1"/>
      <c r="E829" s="58"/>
      <c r="F829" s="56"/>
      <c r="G829" s="56"/>
      <c r="H829" s="59"/>
      <c r="I829" s="56"/>
      <c r="J829" s="56"/>
      <c r="K829" s="59"/>
    </row>
    <row r="830" spans="1:11" ht="15.75" customHeight="1" x14ac:dyDescent="0.25">
      <c r="A830" s="57"/>
      <c r="B830" s="57"/>
      <c r="C830" s="54"/>
      <c r="D830" s="1"/>
      <c r="E830" s="58"/>
      <c r="F830" s="56"/>
      <c r="G830" s="56"/>
      <c r="H830" s="59"/>
      <c r="I830" s="56"/>
      <c r="J830" s="56"/>
      <c r="K830" s="59"/>
    </row>
    <row r="831" spans="1:11" ht="15.75" customHeight="1" x14ac:dyDescent="0.25">
      <c r="A831" s="57"/>
      <c r="B831" s="57"/>
      <c r="C831" s="54"/>
      <c r="D831" s="1"/>
      <c r="E831" s="58"/>
      <c r="F831" s="56"/>
      <c r="G831" s="56"/>
      <c r="H831" s="59"/>
      <c r="I831" s="56"/>
      <c r="J831" s="56"/>
      <c r="K831" s="59"/>
    </row>
    <row r="832" spans="1:11" ht="15.75" customHeight="1" x14ac:dyDescent="0.25">
      <c r="A832" s="57"/>
      <c r="B832" s="57"/>
      <c r="C832" s="54"/>
      <c r="D832" s="1"/>
      <c r="E832" s="58"/>
      <c r="F832" s="56"/>
      <c r="G832" s="56"/>
      <c r="H832" s="59"/>
      <c r="I832" s="56"/>
      <c r="J832" s="56"/>
      <c r="K832" s="59"/>
    </row>
    <row r="833" spans="1:11" ht="15.75" customHeight="1" x14ac:dyDescent="0.25">
      <c r="A833" s="57"/>
      <c r="B833" s="57"/>
      <c r="C833" s="54"/>
      <c r="D833" s="1"/>
      <c r="E833" s="58"/>
      <c r="F833" s="56"/>
      <c r="G833" s="56"/>
      <c r="H833" s="59"/>
      <c r="I833" s="56"/>
      <c r="J833" s="56"/>
      <c r="K833" s="59"/>
    </row>
    <row r="834" spans="1:11" ht="15.75" customHeight="1" x14ac:dyDescent="0.25">
      <c r="A834" s="57"/>
      <c r="B834" s="57"/>
      <c r="C834" s="54"/>
      <c r="D834" s="1"/>
      <c r="E834" s="58"/>
      <c r="F834" s="56"/>
      <c r="G834" s="56"/>
      <c r="H834" s="59"/>
      <c r="I834" s="56"/>
      <c r="J834" s="56"/>
      <c r="K834" s="59"/>
    </row>
    <row r="835" spans="1:11" ht="15.75" customHeight="1" x14ac:dyDescent="0.25">
      <c r="A835" s="57"/>
      <c r="B835" s="57"/>
      <c r="C835" s="54"/>
      <c r="D835" s="1"/>
      <c r="E835" s="58"/>
      <c r="F835" s="56"/>
      <c r="G835" s="56"/>
      <c r="H835" s="59"/>
      <c r="I835" s="56"/>
      <c r="J835" s="56"/>
      <c r="K835" s="59"/>
    </row>
    <row r="836" spans="1:11" ht="15.75" customHeight="1" x14ac:dyDescent="0.25">
      <c r="A836" s="57"/>
      <c r="B836" s="57"/>
      <c r="C836" s="54"/>
      <c r="D836" s="1"/>
      <c r="E836" s="58"/>
      <c r="F836" s="56"/>
      <c r="G836" s="56"/>
      <c r="H836" s="59"/>
      <c r="I836" s="56"/>
      <c r="J836" s="56"/>
      <c r="K836" s="59"/>
    </row>
    <row r="837" spans="1:11" ht="15.75" customHeight="1" x14ac:dyDescent="0.25">
      <c r="A837" s="57"/>
      <c r="B837" s="57"/>
      <c r="C837" s="54"/>
      <c r="D837" s="1"/>
      <c r="E837" s="58"/>
      <c r="F837" s="56"/>
      <c r="G837" s="56"/>
      <c r="H837" s="59"/>
      <c r="I837" s="56"/>
      <c r="J837" s="56"/>
      <c r="K837" s="59"/>
    </row>
    <row r="838" spans="1:11" ht="15.75" customHeight="1" x14ac:dyDescent="0.25">
      <c r="A838" s="57"/>
      <c r="B838" s="57"/>
      <c r="C838" s="54"/>
      <c r="D838" s="1"/>
      <c r="E838" s="58"/>
      <c r="F838" s="56"/>
      <c r="G838" s="56"/>
      <c r="H838" s="59"/>
      <c r="I838" s="56"/>
      <c r="J838" s="56"/>
      <c r="K838" s="59"/>
    </row>
    <row r="839" spans="1:11" ht="15.75" customHeight="1" x14ac:dyDescent="0.25">
      <c r="A839" s="57"/>
      <c r="B839" s="57"/>
      <c r="C839" s="54"/>
      <c r="D839" s="1"/>
      <c r="E839" s="58"/>
      <c r="F839" s="56"/>
      <c r="G839" s="56"/>
      <c r="H839" s="59"/>
      <c r="I839" s="56"/>
      <c r="J839" s="56"/>
      <c r="K839" s="59"/>
    </row>
    <row r="840" spans="1:11" ht="15.75" customHeight="1" x14ac:dyDescent="0.25">
      <c r="A840" s="57"/>
      <c r="B840" s="57"/>
      <c r="C840" s="54"/>
      <c r="D840" s="1"/>
      <c r="E840" s="58"/>
      <c r="F840" s="56"/>
      <c r="G840" s="56"/>
      <c r="H840" s="59"/>
      <c r="I840" s="56"/>
      <c r="J840" s="56"/>
      <c r="K840" s="59"/>
    </row>
    <row r="841" spans="1:11" ht="15.75" customHeight="1" x14ac:dyDescent="0.25">
      <c r="A841" s="57"/>
      <c r="B841" s="57"/>
      <c r="C841" s="54"/>
      <c r="D841" s="1"/>
      <c r="E841" s="58"/>
      <c r="F841" s="56"/>
      <c r="G841" s="56"/>
      <c r="H841" s="59"/>
      <c r="I841" s="56"/>
      <c r="J841" s="56"/>
      <c r="K841" s="59"/>
    </row>
    <row r="842" spans="1:11" ht="15.75" customHeight="1" x14ac:dyDescent="0.25">
      <c r="A842" s="57"/>
      <c r="B842" s="57"/>
      <c r="C842" s="54"/>
      <c r="D842" s="1"/>
      <c r="E842" s="58"/>
      <c r="F842" s="56"/>
      <c r="G842" s="56"/>
      <c r="H842" s="59"/>
      <c r="I842" s="56"/>
      <c r="J842" s="56"/>
      <c r="K842" s="59"/>
    </row>
    <row r="843" spans="1:11" ht="15.75" customHeight="1" x14ac:dyDescent="0.25">
      <c r="A843" s="57"/>
      <c r="B843" s="57"/>
      <c r="C843" s="54"/>
      <c r="D843" s="1"/>
      <c r="E843" s="58"/>
      <c r="F843" s="56"/>
      <c r="G843" s="56"/>
      <c r="H843" s="59"/>
      <c r="I843" s="56"/>
      <c r="J843" s="56"/>
      <c r="K843" s="59"/>
    </row>
    <row r="844" spans="1:11" ht="15.75" customHeight="1" x14ac:dyDescent="0.25">
      <c r="A844" s="57"/>
      <c r="B844" s="57"/>
      <c r="C844" s="54"/>
      <c r="D844" s="1"/>
      <c r="E844" s="58"/>
      <c r="F844" s="56"/>
      <c r="G844" s="56"/>
      <c r="H844" s="59"/>
      <c r="I844" s="56"/>
      <c r="J844" s="56"/>
      <c r="K844" s="59"/>
    </row>
    <row r="845" spans="1:11" ht="15.75" customHeight="1" x14ac:dyDescent="0.25">
      <c r="A845" s="57"/>
      <c r="B845" s="57"/>
      <c r="C845" s="54"/>
      <c r="D845" s="1"/>
      <c r="E845" s="58"/>
      <c r="F845" s="56"/>
      <c r="G845" s="56"/>
      <c r="H845" s="59"/>
      <c r="I845" s="56"/>
      <c r="J845" s="56"/>
      <c r="K845" s="59"/>
    </row>
    <row r="846" spans="1:11" ht="15.75" customHeight="1" x14ac:dyDescent="0.25">
      <c r="A846" s="57"/>
      <c r="B846" s="57"/>
      <c r="C846" s="54"/>
      <c r="D846" s="1"/>
      <c r="E846" s="58"/>
      <c r="F846" s="56"/>
      <c r="G846" s="56"/>
      <c r="H846" s="59"/>
      <c r="I846" s="56"/>
      <c r="J846" s="56"/>
      <c r="K846" s="59"/>
    </row>
    <row r="847" spans="1:11" ht="15.75" customHeight="1" x14ac:dyDescent="0.25">
      <c r="A847" s="57"/>
      <c r="B847" s="57"/>
      <c r="C847" s="54"/>
      <c r="D847" s="1"/>
      <c r="E847" s="58"/>
      <c r="F847" s="56"/>
      <c r="G847" s="56"/>
      <c r="H847" s="59"/>
      <c r="I847" s="56"/>
      <c r="J847" s="56"/>
      <c r="K847" s="59"/>
    </row>
    <row r="848" spans="1:11" ht="15.75" customHeight="1" x14ac:dyDescent="0.25">
      <c r="A848" s="57"/>
      <c r="B848" s="57"/>
      <c r="C848" s="54"/>
      <c r="D848" s="1"/>
      <c r="E848" s="58"/>
      <c r="F848" s="56"/>
      <c r="G848" s="56"/>
      <c r="H848" s="59"/>
      <c r="I848" s="56"/>
      <c r="J848" s="56"/>
      <c r="K848" s="59"/>
    </row>
    <row r="849" spans="1:11" ht="15.75" customHeight="1" x14ac:dyDescent="0.25">
      <c r="A849" s="57"/>
      <c r="B849" s="57"/>
      <c r="C849" s="54"/>
      <c r="D849" s="1"/>
      <c r="E849" s="58"/>
      <c r="F849" s="56"/>
      <c r="G849" s="56"/>
      <c r="H849" s="59"/>
      <c r="I849" s="56"/>
      <c r="J849" s="56"/>
      <c r="K849" s="59"/>
    </row>
    <row r="850" spans="1:11" ht="15.75" customHeight="1" x14ac:dyDescent="0.25">
      <c r="A850" s="57"/>
      <c r="B850" s="57"/>
      <c r="C850" s="54"/>
      <c r="D850" s="1"/>
      <c r="E850" s="58"/>
      <c r="F850" s="56"/>
      <c r="G850" s="56"/>
      <c r="H850" s="59"/>
      <c r="I850" s="56"/>
      <c r="J850" s="56"/>
      <c r="K850" s="59"/>
    </row>
    <row r="851" spans="1:11" ht="15.75" customHeight="1" x14ac:dyDescent="0.25">
      <c r="A851" s="57"/>
      <c r="B851" s="57"/>
      <c r="C851" s="54"/>
      <c r="D851" s="1"/>
      <c r="E851" s="58"/>
      <c r="F851" s="56"/>
      <c r="G851" s="56"/>
      <c r="H851" s="59"/>
      <c r="I851" s="56"/>
      <c r="J851" s="56"/>
      <c r="K851" s="59"/>
    </row>
    <row r="852" spans="1:11" ht="15.75" customHeight="1" x14ac:dyDescent="0.25">
      <c r="A852" s="57"/>
      <c r="B852" s="57"/>
      <c r="C852" s="54"/>
      <c r="D852" s="1"/>
      <c r="E852" s="58"/>
      <c r="F852" s="56"/>
      <c r="G852" s="56"/>
      <c r="H852" s="59"/>
      <c r="I852" s="56"/>
      <c r="J852" s="56"/>
      <c r="K852" s="59"/>
    </row>
    <row r="853" spans="1:11" ht="15.75" customHeight="1" x14ac:dyDescent="0.25">
      <c r="A853" s="57"/>
      <c r="B853" s="57"/>
      <c r="C853" s="54"/>
      <c r="D853" s="1"/>
      <c r="E853" s="58"/>
      <c r="F853" s="56"/>
      <c r="G853" s="56"/>
      <c r="H853" s="59"/>
      <c r="I853" s="56"/>
      <c r="J853" s="56"/>
      <c r="K853" s="59"/>
    </row>
    <row r="854" spans="1:11" ht="15.75" customHeight="1" x14ac:dyDescent="0.25">
      <c r="A854" s="57"/>
      <c r="B854" s="57"/>
      <c r="C854" s="54"/>
      <c r="D854" s="1"/>
      <c r="E854" s="58"/>
      <c r="F854" s="56"/>
      <c r="G854" s="56"/>
      <c r="H854" s="59"/>
      <c r="I854" s="56"/>
      <c r="J854" s="56"/>
      <c r="K854" s="59"/>
    </row>
    <row r="855" spans="1:11" ht="15.75" customHeight="1" x14ac:dyDescent="0.25">
      <c r="A855" s="57"/>
      <c r="B855" s="57"/>
      <c r="C855" s="54"/>
      <c r="D855" s="1"/>
      <c r="E855" s="58"/>
      <c r="F855" s="56"/>
      <c r="G855" s="56"/>
      <c r="H855" s="59"/>
      <c r="I855" s="56"/>
      <c r="J855" s="56"/>
      <c r="K855" s="59"/>
    </row>
    <row r="856" spans="1:11" ht="15.75" customHeight="1" x14ac:dyDescent="0.25">
      <c r="A856" s="57"/>
      <c r="B856" s="57"/>
      <c r="C856" s="54"/>
      <c r="D856" s="1"/>
      <c r="E856" s="58"/>
      <c r="F856" s="56"/>
      <c r="G856" s="56"/>
      <c r="H856" s="59"/>
      <c r="I856" s="56"/>
      <c r="J856" s="56"/>
      <c r="K856" s="59"/>
    </row>
    <row r="857" spans="1:11" ht="15.75" customHeight="1" x14ac:dyDescent="0.25">
      <c r="A857" s="57"/>
      <c r="B857" s="57"/>
      <c r="C857" s="54"/>
      <c r="D857" s="1"/>
      <c r="E857" s="58"/>
      <c r="F857" s="56"/>
      <c r="G857" s="56"/>
      <c r="H857" s="59"/>
      <c r="I857" s="56"/>
      <c r="J857" s="56"/>
      <c r="K857" s="59"/>
    </row>
    <row r="858" spans="1:11" ht="15.75" customHeight="1" x14ac:dyDescent="0.25">
      <c r="A858" s="57"/>
      <c r="B858" s="57"/>
      <c r="C858" s="54"/>
      <c r="D858" s="1"/>
      <c r="E858" s="58"/>
      <c r="F858" s="56"/>
      <c r="G858" s="56"/>
      <c r="H858" s="59"/>
      <c r="I858" s="56"/>
      <c r="J858" s="56"/>
      <c r="K858" s="59"/>
    </row>
    <row r="859" spans="1:11" ht="15.75" customHeight="1" x14ac:dyDescent="0.25">
      <c r="A859" s="57"/>
      <c r="B859" s="57"/>
      <c r="C859" s="54"/>
      <c r="D859" s="1"/>
      <c r="E859" s="58"/>
      <c r="F859" s="56"/>
      <c r="G859" s="56"/>
      <c r="H859" s="59"/>
      <c r="I859" s="56"/>
      <c r="J859" s="56"/>
      <c r="K859" s="59"/>
    </row>
    <row r="860" spans="1:11" ht="15.75" customHeight="1" x14ac:dyDescent="0.25">
      <c r="A860" s="57"/>
      <c r="B860" s="57"/>
      <c r="C860" s="54"/>
      <c r="D860" s="1"/>
      <c r="E860" s="58"/>
      <c r="F860" s="56"/>
      <c r="G860" s="56"/>
      <c r="H860" s="59"/>
      <c r="I860" s="56"/>
      <c r="J860" s="56"/>
      <c r="K860" s="59"/>
    </row>
    <row r="861" spans="1:11" ht="15.75" customHeight="1" x14ac:dyDescent="0.25">
      <c r="A861" s="57"/>
      <c r="B861" s="57"/>
      <c r="C861" s="54"/>
      <c r="D861" s="1"/>
      <c r="E861" s="58"/>
      <c r="F861" s="56"/>
      <c r="G861" s="56"/>
      <c r="H861" s="59"/>
      <c r="I861" s="56"/>
      <c r="J861" s="56"/>
      <c r="K861" s="59"/>
    </row>
    <row r="862" spans="1:11" ht="15.75" customHeight="1" x14ac:dyDescent="0.25">
      <c r="A862" s="57"/>
      <c r="B862" s="57"/>
      <c r="C862" s="54"/>
      <c r="D862" s="1"/>
      <c r="E862" s="58"/>
      <c r="F862" s="56"/>
      <c r="G862" s="56"/>
      <c r="H862" s="59"/>
      <c r="I862" s="56"/>
      <c r="J862" s="56"/>
      <c r="K862" s="59"/>
    </row>
    <row r="863" spans="1:11" ht="15.75" customHeight="1" x14ac:dyDescent="0.25">
      <c r="A863" s="57"/>
      <c r="B863" s="57"/>
      <c r="C863" s="54"/>
      <c r="D863" s="1"/>
      <c r="E863" s="58"/>
      <c r="F863" s="56"/>
      <c r="G863" s="56"/>
      <c r="H863" s="59"/>
      <c r="I863" s="56"/>
      <c r="J863" s="56"/>
      <c r="K863" s="59"/>
    </row>
    <row r="864" spans="1:11" ht="15.75" customHeight="1" x14ac:dyDescent="0.25">
      <c r="A864" s="57"/>
      <c r="B864" s="57"/>
      <c r="C864" s="54"/>
      <c r="D864" s="1"/>
      <c r="E864" s="58"/>
      <c r="F864" s="56"/>
      <c r="G864" s="56"/>
      <c r="H864" s="59"/>
      <c r="I864" s="56"/>
      <c r="J864" s="56"/>
      <c r="K864" s="59"/>
    </row>
    <row r="865" spans="1:11" ht="15.75" customHeight="1" x14ac:dyDescent="0.25">
      <c r="A865" s="57"/>
      <c r="B865" s="57"/>
      <c r="C865" s="54"/>
      <c r="D865" s="1"/>
      <c r="E865" s="58"/>
      <c r="F865" s="56"/>
      <c r="G865" s="56"/>
      <c r="H865" s="59"/>
      <c r="I865" s="56"/>
      <c r="J865" s="56"/>
      <c r="K865" s="59"/>
    </row>
    <row r="866" spans="1:11" ht="15.75" customHeight="1" x14ac:dyDescent="0.25">
      <c r="A866" s="57"/>
      <c r="B866" s="57"/>
      <c r="C866" s="54"/>
      <c r="D866" s="1"/>
      <c r="E866" s="58"/>
      <c r="F866" s="56"/>
      <c r="G866" s="56"/>
      <c r="H866" s="59"/>
      <c r="I866" s="56"/>
      <c r="J866" s="56"/>
      <c r="K866" s="59"/>
    </row>
    <row r="867" spans="1:11" ht="15.75" customHeight="1" x14ac:dyDescent="0.25">
      <c r="A867" s="57"/>
      <c r="B867" s="57"/>
      <c r="C867" s="54"/>
      <c r="D867" s="1"/>
      <c r="E867" s="58"/>
      <c r="F867" s="56"/>
      <c r="G867" s="56"/>
      <c r="H867" s="59"/>
      <c r="I867" s="56"/>
      <c r="J867" s="56"/>
      <c r="K867" s="59"/>
    </row>
    <row r="868" spans="1:11" ht="15.75" customHeight="1" x14ac:dyDescent="0.25">
      <c r="A868" s="57"/>
      <c r="B868" s="57"/>
      <c r="C868" s="54"/>
      <c r="D868" s="1"/>
      <c r="E868" s="58"/>
      <c r="F868" s="56"/>
      <c r="G868" s="56"/>
      <c r="H868" s="59"/>
      <c r="I868" s="56"/>
      <c r="J868" s="56"/>
      <c r="K868" s="59"/>
    </row>
    <row r="869" spans="1:11" ht="15.75" customHeight="1" x14ac:dyDescent="0.25">
      <c r="A869" s="57"/>
      <c r="B869" s="57"/>
      <c r="C869" s="54"/>
      <c r="D869" s="1"/>
      <c r="E869" s="58"/>
      <c r="F869" s="56"/>
      <c r="G869" s="56"/>
      <c r="H869" s="59"/>
      <c r="I869" s="56"/>
      <c r="J869" s="56"/>
      <c r="K869" s="59"/>
    </row>
    <row r="870" spans="1:11" ht="15.75" customHeight="1" x14ac:dyDescent="0.25">
      <c r="A870" s="57"/>
      <c r="B870" s="57"/>
      <c r="C870" s="54"/>
      <c r="D870" s="1"/>
      <c r="E870" s="58"/>
      <c r="F870" s="56"/>
      <c r="G870" s="56"/>
      <c r="H870" s="59"/>
      <c r="I870" s="56"/>
      <c r="J870" s="56"/>
      <c r="K870" s="59"/>
    </row>
    <row r="871" spans="1:11" ht="15.75" customHeight="1" x14ac:dyDescent="0.25">
      <c r="A871" s="57"/>
      <c r="B871" s="57"/>
      <c r="C871" s="54"/>
      <c r="D871" s="1"/>
      <c r="E871" s="58"/>
      <c r="F871" s="56"/>
      <c r="G871" s="56"/>
      <c r="H871" s="59"/>
      <c r="I871" s="56"/>
      <c r="J871" s="56"/>
      <c r="K871" s="59"/>
    </row>
  </sheetData>
  <mergeCells count="11">
    <mergeCell ref="K1:K3"/>
    <mergeCell ref="H1:H3"/>
    <mergeCell ref="I1:I3"/>
    <mergeCell ref="J1:J3"/>
    <mergeCell ref="A1:A3"/>
    <mergeCell ref="B1:B3"/>
    <mergeCell ref="C1:C3"/>
    <mergeCell ref="D1:D3"/>
    <mergeCell ref="E1:E3"/>
    <mergeCell ref="F1:F3"/>
    <mergeCell ref="G1:G3"/>
  </mergeCells>
  <phoneticPr fontId="13" type="noConversion"/>
  <pageMargins left="0.511811024" right="0.511811024" top="0.78740157499999996" bottom="0.78740157499999996" header="0.31496062000000002" footer="0.31496062000000002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08B15-6282-4F8F-BB76-FC95B84FFE33}">
  <sheetPr>
    <pageSetUpPr fitToPage="1"/>
  </sheetPr>
  <dimension ref="A1:N33"/>
  <sheetViews>
    <sheetView tabSelected="1" workbookViewId="0">
      <selection activeCell="G18" sqref="G18"/>
    </sheetView>
  </sheetViews>
  <sheetFormatPr defaultRowHeight="14.25" x14ac:dyDescent="0.2"/>
  <cols>
    <col min="1" max="1" width="53.125" style="60" customWidth="1"/>
    <col min="2" max="2" width="0.25" style="60" customWidth="1"/>
    <col min="3" max="5" width="9.75" style="60" customWidth="1"/>
    <col min="6" max="13" width="10.875" style="60" customWidth="1"/>
    <col min="14" max="14" width="12.375" style="60" customWidth="1"/>
    <col min="15" max="254" width="9" style="60"/>
    <col min="255" max="255" width="53.125" style="60" customWidth="1"/>
    <col min="256" max="256" width="0.25" style="60" customWidth="1"/>
    <col min="257" max="259" width="9.75" style="60" customWidth="1"/>
    <col min="260" max="267" width="10.875" style="60" customWidth="1"/>
    <col min="268" max="268" width="12.375" style="60" customWidth="1"/>
    <col min="269" max="269" width="12.375" style="60" bestFit="1" customWidth="1"/>
    <col min="270" max="270" width="10.5" style="60" bestFit="1" customWidth="1"/>
    <col min="271" max="510" width="9" style="60"/>
    <col min="511" max="511" width="53.125" style="60" customWidth="1"/>
    <col min="512" max="512" width="0.25" style="60" customWidth="1"/>
    <col min="513" max="515" width="9.75" style="60" customWidth="1"/>
    <col min="516" max="523" width="10.875" style="60" customWidth="1"/>
    <col min="524" max="524" width="12.375" style="60" customWidth="1"/>
    <col min="525" max="525" width="12.375" style="60" bestFit="1" customWidth="1"/>
    <col min="526" max="526" width="10.5" style="60" bestFit="1" customWidth="1"/>
    <col min="527" max="766" width="9" style="60"/>
    <col min="767" max="767" width="53.125" style="60" customWidth="1"/>
    <col min="768" max="768" width="0.25" style="60" customWidth="1"/>
    <col min="769" max="771" width="9.75" style="60" customWidth="1"/>
    <col min="772" max="779" width="10.875" style="60" customWidth="1"/>
    <col min="780" max="780" width="12.375" style="60" customWidth="1"/>
    <col min="781" max="781" width="12.375" style="60" bestFit="1" customWidth="1"/>
    <col min="782" max="782" width="10.5" style="60" bestFit="1" customWidth="1"/>
    <col min="783" max="1022" width="9" style="60"/>
    <col min="1023" max="1023" width="53.125" style="60" customWidth="1"/>
    <col min="1024" max="1024" width="0.25" style="60" customWidth="1"/>
    <col min="1025" max="1027" width="9.75" style="60" customWidth="1"/>
    <col min="1028" max="1035" width="10.875" style="60" customWidth="1"/>
    <col min="1036" max="1036" width="12.375" style="60" customWidth="1"/>
    <col min="1037" max="1037" width="12.375" style="60" bestFit="1" customWidth="1"/>
    <col min="1038" max="1038" width="10.5" style="60" bestFit="1" customWidth="1"/>
    <col min="1039" max="1278" width="9" style="60"/>
    <col min="1279" max="1279" width="53.125" style="60" customWidth="1"/>
    <col min="1280" max="1280" width="0.25" style="60" customWidth="1"/>
    <col min="1281" max="1283" width="9.75" style="60" customWidth="1"/>
    <col min="1284" max="1291" width="10.875" style="60" customWidth="1"/>
    <col min="1292" max="1292" width="12.375" style="60" customWidth="1"/>
    <col min="1293" max="1293" width="12.375" style="60" bestFit="1" customWidth="1"/>
    <col min="1294" max="1294" width="10.5" style="60" bestFit="1" customWidth="1"/>
    <col min="1295" max="1534" width="9" style="60"/>
    <col min="1535" max="1535" width="53.125" style="60" customWidth="1"/>
    <col min="1536" max="1536" width="0.25" style="60" customWidth="1"/>
    <col min="1537" max="1539" width="9.75" style="60" customWidth="1"/>
    <col min="1540" max="1547" width="10.875" style="60" customWidth="1"/>
    <col min="1548" max="1548" width="12.375" style="60" customWidth="1"/>
    <col min="1549" max="1549" width="12.375" style="60" bestFit="1" customWidth="1"/>
    <col min="1550" max="1550" width="10.5" style="60" bestFit="1" customWidth="1"/>
    <col min="1551" max="1790" width="9" style="60"/>
    <col min="1791" max="1791" width="53.125" style="60" customWidth="1"/>
    <col min="1792" max="1792" width="0.25" style="60" customWidth="1"/>
    <col min="1793" max="1795" width="9.75" style="60" customWidth="1"/>
    <col min="1796" max="1803" width="10.875" style="60" customWidth="1"/>
    <col min="1804" max="1804" width="12.375" style="60" customWidth="1"/>
    <col min="1805" max="1805" width="12.375" style="60" bestFit="1" customWidth="1"/>
    <col min="1806" max="1806" width="10.5" style="60" bestFit="1" customWidth="1"/>
    <col min="1807" max="2046" width="9" style="60"/>
    <col min="2047" max="2047" width="53.125" style="60" customWidth="1"/>
    <col min="2048" max="2048" width="0.25" style="60" customWidth="1"/>
    <col min="2049" max="2051" width="9.75" style="60" customWidth="1"/>
    <col min="2052" max="2059" width="10.875" style="60" customWidth="1"/>
    <col min="2060" max="2060" width="12.375" style="60" customWidth="1"/>
    <col min="2061" max="2061" width="12.375" style="60" bestFit="1" customWidth="1"/>
    <col min="2062" max="2062" width="10.5" style="60" bestFit="1" customWidth="1"/>
    <col min="2063" max="2302" width="9" style="60"/>
    <col min="2303" max="2303" width="53.125" style="60" customWidth="1"/>
    <col min="2304" max="2304" width="0.25" style="60" customWidth="1"/>
    <col min="2305" max="2307" width="9.75" style="60" customWidth="1"/>
    <col min="2308" max="2315" width="10.875" style="60" customWidth="1"/>
    <col min="2316" max="2316" width="12.375" style="60" customWidth="1"/>
    <col min="2317" max="2317" width="12.375" style="60" bestFit="1" customWidth="1"/>
    <col min="2318" max="2318" width="10.5" style="60" bestFit="1" customWidth="1"/>
    <col min="2319" max="2558" width="9" style="60"/>
    <col min="2559" max="2559" width="53.125" style="60" customWidth="1"/>
    <col min="2560" max="2560" width="0.25" style="60" customWidth="1"/>
    <col min="2561" max="2563" width="9.75" style="60" customWidth="1"/>
    <col min="2564" max="2571" width="10.875" style="60" customWidth="1"/>
    <col min="2572" max="2572" width="12.375" style="60" customWidth="1"/>
    <col min="2573" max="2573" width="12.375" style="60" bestFit="1" customWidth="1"/>
    <col min="2574" max="2574" width="10.5" style="60" bestFit="1" customWidth="1"/>
    <col min="2575" max="2814" width="9" style="60"/>
    <col min="2815" max="2815" width="53.125" style="60" customWidth="1"/>
    <col min="2816" max="2816" width="0.25" style="60" customWidth="1"/>
    <col min="2817" max="2819" width="9.75" style="60" customWidth="1"/>
    <col min="2820" max="2827" width="10.875" style="60" customWidth="1"/>
    <col min="2828" max="2828" width="12.375" style="60" customWidth="1"/>
    <col min="2829" max="2829" width="12.375" style="60" bestFit="1" customWidth="1"/>
    <col min="2830" max="2830" width="10.5" style="60" bestFit="1" customWidth="1"/>
    <col min="2831" max="3070" width="9" style="60"/>
    <col min="3071" max="3071" width="53.125" style="60" customWidth="1"/>
    <col min="3072" max="3072" width="0.25" style="60" customWidth="1"/>
    <col min="3073" max="3075" width="9.75" style="60" customWidth="1"/>
    <col min="3076" max="3083" width="10.875" style="60" customWidth="1"/>
    <col min="3084" max="3084" width="12.375" style="60" customWidth="1"/>
    <col min="3085" max="3085" width="12.375" style="60" bestFit="1" customWidth="1"/>
    <col min="3086" max="3086" width="10.5" style="60" bestFit="1" customWidth="1"/>
    <col min="3087" max="3326" width="9" style="60"/>
    <col min="3327" max="3327" width="53.125" style="60" customWidth="1"/>
    <col min="3328" max="3328" width="0.25" style="60" customWidth="1"/>
    <col min="3329" max="3331" width="9.75" style="60" customWidth="1"/>
    <col min="3332" max="3339" width="10.875" style="60" customWidth="1"/>
    <col min="3340" max="3340" width="12.375" style="60" customWidth="1"/>
    <col min="3341" max="3341" width="12.375" style="60" bestFit="1" customWidth="1"/>
    <col min="3342" max="3342" width="10.5" style="60" bestFit="1" customWidth="1"/>
    <col min="3343" max="3582" width="9" style="60"/>
    <col min="3583" max="3583" width="53.125" style="60" customWidth="1"/>
    <col min="3584" max="3584" width="0.25" style="60" customWidth="1"/>
    <col min="3585" max="3587" width="9.75" style="60" customWidth="1"/>
    <col min="3588" max="3595" width="10.875" style="60" customWidth="1"/>
    <col min="3596" max="3596" width="12.375" style="60" customWidth="1"/>
    <col min="3597" max="3597" width="12.375" style="60" bestFit="1" customWidth="1"/>
    <col min="3598" max="3598" width="10.5" style="60" bestFit="1" customWidth="1"/>
    <col min="3599" max="3838" width="9" style="60"/>
    <col min="3839" max="3839" width="53.125" style="60" customWidth="1"/>
    <col min="3840" max="3840" width="0.25" style="60" customWidth="1"/>
    <col min="3841" max="3843" width="9.75" style="60" customWidth="1"/>
    <col min="3844" max="3851" width="10.875" style="60" customWidth="1"/>
    <col min="3852" max="3852" width="12.375" style="60" customWidth="1"/>
    <col min="3853" max="3853" width="12.375" style="60" bestFit="1" customWidth="1"/>
    <col min="3854" max="3854" width="10.5" style="60" bestFit="1" customWidth="1"/>
    <col min="3855" max="4094" width="9" style="60"/>
    <col min="4095" max="4095" width="53.125" style="60" customWidth="1"/>
    <col min="4096" max="4096" width="0.25" style="60" customWidth="1"/>
    <col min="4097" max="4099" width="9.75" style="60" customWidth="1"/>
    <col min="4100" max="4107" width="10.875" style="60" customWidth="1"/>
    <col min="4108" max="4108" width="12.375" style="60" customWidth="1"/>
    <col min="4109" max="4109" width="12.375" style="60" bestFit="1" customWidth="1"/>
    <col min="4110" max="4110" width="10.5" style="60" bestFit="1" customWidth="1"/>
    <col min="4111" max="4350" width="9" style="60"/>
    <col min="4351" max="4351" width="53.125" style="60" customWidth="1"/>
    <col min="4352" max="4352" width="0.25" style="60" customWidth="1"/>
    <col min="4353" max="4355" width="9.75" style="60" customWidth="1"/>
    <col min="4356" max="4363" width="10.875" style="60" customWidth="1"/>
    <col min="4364" max="4364" width="12.375" style="60" customWidth="1"/>
    <col min="4365" max="4365" width="12.375" style="60" bestFit="1" customWidth="1"/>
    <col min="4366" max="4366" width="10.5" style="60" bestFit="1" customWidth="1"/>
    <col min="4367" max="4606" width="9" style="60"/>
    <col min="4607" max="4607" width="53.125" style="60" customWidth="1"/>
    <col min="4608" max="4608" width="0.25" style="60" customWidth="1"/>
    <col min="4609" max="4611" width="9.75" style="60" customWidth="1"/>
    <col min="4612" max="4619" width="10.875" style="60" customWidth="1"/>
    <col min="4620" max="4620" width="12.375" style="60" customWidth="1"/>
    <col min="4621" max="4621" width="12.375" style="60" bestFit="1" customWidth="1"/>
    <col min="4622" max="4622" width="10.5" style="60" bestFit="1" customWidth="1"/>
    <col min="4623" max="4862" width="9" style="60"/>
    <col min="4863" max="4863" width="53.125" style="60" customWidth="1"/>
    <col min="4864" max="4864" width="0.25" style="60" customWidth="1"/>
    <col min="4865" max="4867" width="9.75" style="60" customWidth="1"/>
    <col min="4868" max="4875" width="10.875" style="60" customWidth="1"/>
    <col min="4876" max="4876" width="12.375" style="60" customWidth="1"/>
    <col min="4877" max="4877" width="12.375" style="60" bestFit="1" customWidth="1"/>
    <col min="4878" max="4878" width="10.5" style="60" bestFit="1" customWidth="1"/>
    <col min="4879" max="5118" width="9" style="60"/>
    <col min="5119" max="5119" width="53.125" style="60" customWidth="1"/>
    <col min="5120" max="5120" width="0.25" style="60" customWidth="1"/>
    <col min="5121" max="5123" width="9.75" style="60" customWidth="1"/>
    <col min="5124" max="5131" width="10.875" style="60" customWidth="1"/>
    <col min="5132" max="5132" width="12.375" style="60" customWidth="1"/>
    <col min="5133" max="5133" width="12.375" style="60" bestFit="1" customWidth="1"/>
    <col min="5134" max="5134" width="10.5" style="60" bestFit="1" customWidth="1"/>
    <col min="5135" max="5374" width="9" style="60"/>
    <col min="5375" max="5375" width="53.125" style="60" customWidth="1"/>
    <col min="5376" max="5376" width="0.25" style="60" customWidth="1"/>
    <col min="5377" max="5379" width="9.75" style="60" customWidth="1"/>
    <col min="5380" max="5387" width="10.875" style="60" customWidth="1"/>
    <col min="5388" max="5388" width="12.375" style="60" customWidth="1"/>
    <col min="5389" max="5389" width="12.375" style="60" bestFit="1" customWidth="1"/>
    <col min="5390" max="5390" width="10.5" style="60" bestFit="1" customWidth="1"/>
    <col min="5391" max="5630" width="9" style="60"/>
    <col min="5631" max="5631" width="53.125" style="60" customWidth="1"/>
    <col min="5632" max="5632" width="0.25" style="60" customWidth="1"/>
    <col min="5633" max="5635" width="9.75" style="60" customWidth="1"/>
    <col min="5636" max="5643" width="10.875" style="60" customWidth="1"/>
    <col min="5644" max="5644" width="12.375" style="60" customWidth="1"/>
    <col min="5645" max="5645" width="12.375" style="60" bestFit="1" customWidth="1"/>
    <col min="5646" max="5646" width="10.5" style="60" bestFit="1" customWidth="1"/>
    <col min="5647" max="5886" width="9" style="60"/>
    <col min="5887" max="5887" width="53.125" style="60" customWidth="1"/>
    <col min="5888" max="5888" width="0.25" style="60" customWidth="1"/>
    <col min="5889" max="5891" width="9.75" style="60" customWidth="1"/>
    <col min="5892" max="5899" width="10.875" style="60" customWidth="1"/>
    <col min="5900" max="5900" width="12.375" style="60" customWidth="1"/>
    <col min="5901" max="5901" width="12.375" style="60" bestFit="1" customWidth="1"/>
    <col min="5902" max="5902" width="10.5" style="60" bestFit="1" customWidth="1"/>
    <col min="5903" max="6142" width="9" style="60"/>
    <col min="6143" max="6143" width="53.125" style="60" customWidth="1"/>
    <col min="6144" max="6144" width="0.25" style="60" customWidth="1"/>
    <col min="6145" max="6147" width="9.75" style="60" customWidth="1"/>
    <col min="6148" max="6155" width="10.875" style="60" customWidth="1"/>
    <col min="6156" max="6156" width="12.375" style="60" customWidth="1"/>
    <col min="6157" max="6157" width="12.375" style="60" bestFit="1" customWidth="1"/>
    <col min="6158" max="6158" width="10.5" style="60" bestFit="1" customWidth="1"/>
    <col min="6159" max="6398" width="9" style="60"/>
    <col min="6399" max="6399" width="53.125" style="60" customWidth="1"/>
    <col min="6400" max="6400" width="0.25" style="60" customWidth="1"/>
    <col min="6401" max="6403" width="9.75" style="60" customWidth="1"/>
    <col min="6404" max="6411" width="10.875" style="60" customWidth="1"/>
    <col min="6412" max="6412" width="12.375" style="60" customWidth="1"/>
    <col min="6413" max="6413" width="12.375" style="60" bestFit="1" customWidth="1"/>
    <col min="6414" max="6414" width="10.5" style="60" bestFit="1" customWidth="1"/>
    <col min="6415" max="6654" width="9" style="60"/>
    <col min="6655" max="6655" width="53.125" style="60" customWidth="1"/>
    <col min="6656" max="6656" width="0.25" style="60" customWidth="1"/>
    <col min="6657" max="6659" width="9.75" style="60" customWidth="1"/>
    <col min="6660" max="6667" width="10.875" style="60" customWidth="1"/>
    <col min="6668" max="6668" width="12.375" style="60" customWidth="1"/>
    <col min="6669" max="6669" width="12.375" style="60" bestFit="1" customWidth="1"/>
    <col min="6670" max="6670" width="10.5" style="60" bestFit="1" customWidth="1"/>
    <col min="6671" max="6910" width="9" style="60"/>
    <col min="6911" max="6911" width="53.125" style="60" customWidth="1"/>
    <col min="6912" max="6912" width="0.25" style="60" customWidth="1"/>
    <col min="6913" max="6915" width="9.75" style="60" customWidth="1"/>
    <col min="6916" max="6923" width="10.875" style="60" customWidth="1"/>
    <col min="6924" max="6924" width="12.375" style="60" customWidth="1"/>
    <col min="6925" max="6925" width="12.375" style="60" bestFit="1" customWidth="1"/>
    <col min="6926" max="6926" width="10.5" style="60" bestFit="1" customWidth="1"/>
    <col min="6927" max="7166" width="9" style="60"/>
    <col min="7167" max="7167" width="53.125" style="60" customWidth="1"/>
    <col min="7168" max="7168" width="0.25" style="60" customWidth="1"/>
    <col min="7169" max="7171" width="9.75" style="60" customWidth="1"/>
    <col min="7172" max="7179" width="10.875" style="60" customWidth="1"/>
    <col min="7180" max="7180" width="12.375" style="60" customWidth="1"/>
    <col min="7181" max="7181" width="12.375" style="60" bestFit="1" customWidth="1"/>
    <col min="7182" max="7182" width="10.5" style="60" bestFit="1" customWidth="1"/>
    <col min="7183" max="7422" width="9" style="60"/>
    <col min="7423" max="7423" width="53.125" style="60" customWidth="1"/>
    <col min="7424" max="7424" width="0.25" style="60" customWidth="1"/>
    <col min="7425" max="7427" width="9.75" style="60" customWidth="1"/>
    <col min="7428" max="7435" width="10.875" style="60" customWidth="1"/>
    <col min="7436" max="7436" width="12.375" style="60" customWidth="1"/>
    <col min="7437" max="7437" width="12.375" style="60" bestFit="1" customWidth="1"/>
    <col min="7438" max="7438" width="10.5" style="60" bestFit="1" customWidth="1"/>
    <col min="7439" max="7678" width="9" style="60"/>
    <col min="7679" max="7679" width="53.125" style="60" customWidth="1"/>
    <col min="7680" max="7680" width="0.25" style="60" customWidth="1"/>
    <col min="7681" max="7683" width="9.75" style="60" customWidth="1"/>
    <col min="7684" max="7691" width="10.875" style="60" customWidth="1"/>
    <col min="7692" max="7692" width="12.375" style="60" customWidth="1"/>
    <col min="7693" max="7693" width="12.375" style="60" bestFit="1" customWidth="1"/>
    <col min="7694" max="7694" width="10.5" style="60" bestFit="1" customWidth="1"/>
    <col min="7695" max="7934" width="9" style="60"/>
    <col min="7935" max="7935" width="53.125" style="60" customWidth="1"/>
    <col min="7936" max="7936" width="0.25" style="60" customWidth="1"/>
    <col min="7937" max="7939" width="9.75" style="60" customWidth="1"/>
    <col min="7940" max="7947" width="10.875" style="60" customWidth="1"/>
    <col min="7948" max="7948" width="12.375" style="60" customWidth="1"/>
    <col min="7949" max="7949" width="12.375" style="60" bestFit="1" customWidth="1"/>
    <col min="7950" max="7950" width="10.5" style="60" bestFit="1" customWidth="1"/>
    <col min="7951" max="8190" width="9" style="60"/>
    <col min="8191" max="8191" width="53.125" style="60" customWidth="1"/>
    <col min="8192" max="8192" width="0.25" style="60" customWidth="1"/>
    <col min="8193" max="8195" width="9.75" style="60" customWidth="1"/>
    <col min="8196" max="8203" width="10.875" style="60" customWidth="1"/>
    <col min="8204" max="8204" width="12.375" style="60" customWidth="1"/>
    <col min="8205" max="8205" width="12.375" style="60" bestFit="1" customWidth="1"/>
    <col min="8206" max="8206" width="10.5" style="60" bestFit="1" customWidth="1"/>
    <col min="8207" max="8446" width="9" style="60"/>
    <col min="8447" max="8447" width="53.125" style="60" customWidth="1"/>
    <col min="8448" max="8448" width="0.25" style="60" customWidth="1"/>
    <col min="8449" max="8451" width="9.75" style="60" customWidth="1"/>
    <col min="8452" max="8459" width="10.875" style="60" customWidth="1"/>
    <col min="8460" max="8460" width="12.375" style="60" customWidth="1"/>
    <col min="8461" max="8461" width="12.375" style="60" bestFit="1" customWidth="1"/>
    <col min="8462" max="8462" width="10.5" style="60" bestFit="1" customWidth="1"/>
    <col min="8463" max="8702" width="9" style="60"/>
    <col min="8703" max="8703" width="53.125" style="60" customWidth="1"/>
    <col min="8704" max="8704" width="0.25" style="60" customWidth="1"/>
    <col min="8705" max="8707" width="9.75" style="60" customWidth="1"/>
    <col min="8708" max="8715" width="10.875" style="60" customWidth="1"/>
    <col min="8716" max="8716" width="12.375" style="60" customWidth="1"/>
    <col min="8717" max="8717" width="12.375" style="60" bestFit="1" customWidth="1"/>
    <col min="8718" max="8718" width="10.5" style="60" bestFit="1" customWidth="1"/>
    <col min="8719" max="8958" width="9" style="60"/>
    <col min="8959" max="8959" width="53.125" style="60" customWidth="1"/>
    <col min="8960" max="8960" width="0.25" style="60" customWidth="1"/>
    <col min="8961" max="8963" width="9.75" style="60" customWidth="1"/>
    <col min="8964" max="8971" width="10.875" style="60" customWidth="1"/>
    <col min="8972" max="8972" width="12.375" style="60" customWidth="1"/>
    <col min="8973" max="8973" width="12.375" style="60" bestFit="1" customWidth="1"/>
    <col min="8974" max="8974" width="10.5" style="60" bestFit="1" customWidth="1"/>
    <col min="8975" max="9214" width="9" style="60"/>
    <col min="9215" max="9215" width="53.125" style="60" customWidth="1"/>
    <col min="9216" max="9216" width="0.25" style="60" customWidth="1"/>
    <col min="9217" max="9219" width="9.75" style="60" customWidth="1"/>
    <col min="9220" max="9227" width="10.875" style="60" customWidth="1"/>
    <col min="9228" max="9228" width="12.375" style="60" customWidth="1"/>
    <col min="9229" max="9229" width="12.375" style="60" bestFit="1" customWidth="1"/>
    <col min="9230" max="9230" width="10.5" style="60" bestFit="1" customWidth="1"/>
    <col min="9231" max="9470" width="9" style="60"/>
    <col min="9471" max="9471" width="53.125" style="60" customWidth="1"/>
    <col min="9472" max="9472" width="0.25" style="60" customWidth="1"/>
    <col min="9473" max="9475" width="9.75" style="60" customWidth="1"/>
    <col min="9476" max="9483" width="10.875" style="60" customWidth="1"/>
    <col min="9484" max="9484" width="12.375" style="60" customWidth="1"/>
    <col min="9485" max="9485" width="12.375" style="60" bestFit="1" customWidth="1"/>
    <col min="9486" max="9486" width="10.5" style="60" bestFit="1" customWidth="1"/>
    <col min="9487" max="9726" width="9" style="60"/>
    <col min="9727" max="9727" width="53.125" style="60" customWidth="1"/>
    <col min="9728" max="9728" width="0.25" style="60" customWidth="1"/>
    <col min="9729" max="9731" width="9.75" style="60" customWidth="1"/>
    <col min="9732" max="9739" width="10.875" style="60" customWidth="1"/>
    <col min="9740" max="9740" width="12.375" style="60" customWidth="1"/>
    <col min="9741" max="9741" width="12.375" style="60" bestFit="1" customWidth="1"/>
    <col min="9742" max="9742" width="10.5" style="60" bestFit="1" customWidth="1"/>
    <col min="9743" max="9982" width="9" style="60"/>
    <col min="9983" max="9983" width="53.125" style="60" customWidth="1"/>
    <col min="9984" max="9984" width="0.25" style="60" customWidth="1"/>
    <col min="9985" max="9987" width="9.75" style="60" customWidth="1"/>
    <col min="9988" max="9995" width="10.875" style="60" customWidth="1"/>
    <col min="9996" max="9996" width="12.375" style="60" customWidth="1"/>
    <col min="9997" max="9997" width="12.375" style="60" bestFit="1" customWidth="1"/>
    <col min="9998" max="9998" width="10.5" style="60" bestFit="1" customWidth="1"/>
    <col min="9999" max="10238" width="9" style="60"/>
    <col min="10239" max="10239" width="53.125" style="60" customWidth="1"/>
    <col min="10240" max="10240" width="0.25" style="60" customWidth="1"/>
    <col min="10241" max="10243" width="9.75" style="60" customWidth="1"/>
    <col min="10244" max="10251" width="10.875" style="60" customWidth="1"/>
    <col min="10252" max="10252" width="12.375" style="60" customWidth="1"/>
    <col min="10253" max="10253" width="12.375" style="60" bestFit="1" customWidth="1"/>
    <col min="10254" max="10254" width="10.5" style="60" bestFit="1" customWidth="1"/>
    <col min="10255" max="10494" width="9" style="60"/>
    <col min="10495" max="10495" width="53.125" style="60" customWidth="1"/>
    <col min="10496" max="10496" width="0.25" style="60" customWidth="1"/>
    <col min="10497" max="10499" width="9.75" style="60" customWidth="1"/>
    <col min="10500" max="10507" width="10.875" style="60" customWidth="1"/>
    <col min="10508" max="10508" width="12.375" style="60" customWidth="1"/>
    <col min="10509" max="10509" width="12.375" style="60" bestFit="1" customWidth="1"/>
    <col min="10510" max="10510" width="10.5" style="60" bestFit="1" customWidth="1"/>
    <col min="10511" max="10750" width="9" style="60"/>
    <col min="10751" max="10751" width="53.125" style="60" customWidth="1"/>
    <col min="10752" max="10752" width="0.25" style="60" customWidth="1"/>
    <col min="10753" max="10755" width="9.75" style="60" customWidth="1"/>
    <col min="10756" max="10763" width="10.875" style="60" customWidth="1"/>
    <col min="10764" max="10764" width="12.375" style="60" customWidth="1"/>
    <col min="10765" max="10765" width="12.375" style="60" bestFit="1" customWidth="1"/>
    <col min="10766" max="10766" width="10.5" style="60" bestFit="1" customWidth="1"/>
    <col min="10767" max="11006" width="9" style="60"/>
    <col min="11007" max="11007" width="53.125" style="60" customWidth="1"/>
    <col min="11008" max="11008" width="0.25" style="60" customWidth="1"/>
    <col min="11009" max="11011" width="9.75" style="60" customWidth="1"/>
    <col min="11012" max="11019" width="10.875" style="60" customWidth="1"/>
    <col min="11020" max="11020" width="12.375" style="60" customWidth="1"/>
    <col min="11021" max="11021" width="12.375" style="60" bestFit="1" customWidth="1"/>
    <col min="11022" max="11022" width="10.5" style="60" bestFit="1" customWidth="1"/>
    <col min="11023" max="11262" width="9" style="60"/>
    <col min="11263" max="11263" width="53.125" style="60" customWidth="1"/>
    <col min="11264" max="11264" width="0.25" style="60" customWidth="1"/>
    <col min="11265" max="11267" width="9.75" style="60" customWidth="1"/>
    <col min="11268" max="11275" width="10.875" style="60" customWidth="1"/>
    <col min="11276" max="11276" width="12.375" style="60" customWidth="1"/>
    <col min="11277" max="11277" width="12.375" style="60" bestFit="1" customWidth="1"/>
    <col min="11278" max="11278" width="10.5" style="60" bestFit="1" customWidth="1"/>
    <col min="11279" max="11518" width="9" style="60"/>
    <col min="11519" max="11519" width="53.125" style="60" customWidth="1"/>
    <col min="11520" max="11520" width="0.25" style="60" customWidth="1"/>
    <col min="11521" max="11523" width="9.75" style="60" customWidth="1"/>
    <col min="11524" max="11531" width="10.875" style="60" customWidth="1"/>
    <col min="11532" max="11532" width="12.375" style="60" customWidth="1"/>
    <col min="11533" max="11533" width="12.375" style="60" bestFit="1" customWidth="1"/>
    <col min="11534" max="11534" width="10.5" style="60" bestFit="1" customWidth="1"/>
    <col min="11535" max="11774" width="9" style="60"/>
    <col min="11775" max="11775" width="53.125" style="60" customWidth="1"/>
    <col min="11776" max="11776" width="0.25" style="60" customWidth="1"/>
    <col min="11777" max="11779" width="9.75" style="60" customWidth="1"/>
    <col min="11780" max="11787" width="10.875" style="60" customWidth="1"/>
    <col min="11788" max="11788" width="12.375" style="60" customWidth="1"/>
    <col min="11789" max="11789" width="12.375" style="60" bestFit="1" customWidth="1"/>
    <col min="11790" max="11790" width="10.5" style="60" bestFit="1" customWidth="1"/>
    <col min="11791" max="12030" width="9" style="60"/>
    <col min="12031" max="12031" width="53.125" style="60" customWidth="1"/>
    <col min="12032" max="12032" width="0.25" style="60" customWidth="1"/>
    <col min="12033" max="12035" width="9.75" style="60" customWidth="1"/>
    <col min="12036" max="12043" width="10.875" style="60" customWidth="1"/>
    <col min="12044" max="12044" width="12.375" style="60" customWidth="1"/>
    <col min="12045" max="12045" width="12.375" style="60" bestFit="1" customWidth="1"/>
    <col min="12046" max="12046" width="10.5" style="60" bestFit="1" customWidth="1"/>
    <col min="12047" max="12286" width="9" style="60"/>
    <col min="12287" max="12287" width="53.125" style="60" customWidth="1"/>
    <col min="12288" max="12288" width="0.25" style="60" customWidth="1"/>
    <col min="12289" max="12291" width="9.75" style="60" customWidth="1"/>
    <col min="12292" max="12299" width="10.875" style="60" customWidth="1"/>
    <col min="12300" max="12300" width="12.375" style="60" customWidth="1"/>
    <col min="12301" max="12301" width="12.375" style="60" bestFit="1" customWidth="1"/>
    <col min="12302" max="12302" width="10.5" style="60" bestFit="1" customWidth="1"/>
    <col min="12303" max="12542" width="9" style="60"/>
    <col min="12543" max="12543" width="53.125" style="60" customWidth="1"/>
    <col min="12544" max="12544" width="0.25" style="60" customWidth="1"/>
    <col min="12545" max="12547" width="9.75" style="60" customWidth="1"/>
    <col min="12548" max="12555" width="10.875" style="60" customWidth="1"/>
    <col min="12556" max="12556" width="12.375" style="60" customWidth="1"/>
    <col min="12557" max="12557" width="12.375" style="60" bestFit="1" customWidth="1"/>
    <col min="12558" max="12558" width="10.5" style="60" bestFit="1" customWidth="1"/>
    <col min="12559" max="12798" width="9" style="60"/>
    <col min="12799" max="12799" width="53.125" style="60" customWidth="1"/>
    <col min="12800" max="12800" width="0.25" style="60" customWidth="1"/>
    <col min="12801" max="12803" width="9.75" style="60" customWidth="1"/>
    <col min="12804" max="12811" width="10.875" style="60" customWidth="1"/>
    <col min="12812" max="12812" width="12.375" style="60" customWidth="1"/>
    <col min="12813" max="12813" width="12.375" style="60" bestFit="1" customWidth="1"/>
    <col min="12814" max="12814" width="10.5" style="60" bestFit="1" customWidth="1"/>
    <col min="12815" max="13054" width="9" style="60"/>
    <col min="13055" max="13055" width="53.125" style="60" customWidth="1"/>
    <col min="13056" max="13056" width="0.25" style="60" customWidth="1"/>
    <col min="13057" max="13059" width="9.75" style="60" customWidth="1"/>
    <col min="13060" max="13067" width="10.875" style="60" customWidth="1"/>
    <col min="13068" max="13068" width="12.375" style="60" customWidth="1"/>
    <col min="13069" max="13069" width="12.375" style="60" bestFit="1" customWidth="1"/>
    <col min="13070" max="13070" width="10.5" style="60" bestFit="1" customWidth="1"/>
    <col min="13071" max="13310" width="9" style="60"/>
    <col min="13311" max="13311" width="53.125" style="60" customWidth="1"/>
    <col min="13312" max="13312" width="0.25" style="60" customWidth="1"/>
    <col min="13313" max="13315" width="9.75" style="60" customWidth="1"/>
    <col min="13316" max="13323" width="10.875" style="60" customWidth="1"/>
    <col min="13324" max="13324" width="12.375" style="60" customWidth="1"/>
    <col min="13325" max="13325" width="12.375" style="60" bestFit="1" customWidth="1"/>
    <col min="13326" max="13326" width="10.5" style="60" bestFit="1" customWidth="1"/>
    <col min="13327" max="13566" width="9" style="60"/>
    <col min="13567" max="13567" width="53.125" style="60" customWidth="1"/>
    <col min="13568" max="13568" width="0.25" style="60" customWidth="1"/>
    <col min="13569" max="13571" width="9.75" style="60" customWidth="1"/>
    <col min="13572" max="13579" width="10.875" style="60" customWidth="1"/>
    <col min="13580" max="13580" width="12.375" style="60" customWidth="1"/>
    <col min="13581" max="13581" width="12.375" style="60" bestFit="1" customWidth="1"/>
    <col min="13582" max="13582" width="10.5" style="60" bestFit="1" customWidth="1"/>
    <col min="13583" max="13822" width="9" style="60"/>
    <col min="13823" max="13823" width="53.125" style="60" customWidth="1"/>
    <col min="13824" max="13824" width="0.25" style="60" customWidth="1"/>
    <col min="13825" max="13827" width="9.75" style="60" customWidth="1"/>
    <col min="13828" max="13835" width="10.875" style="60" customWidth="1"/>
    <col min="13836" max="13836" width="12.375" style="60" customWidth="1"/>
    <col min="13837" max="13837" width="12.375" style="60" bestFit="1" customWidth="1"/>
    <col min="13838" max="13838" width="10.5" style="60" bestFit="1" customWidth="1"/>
    <col min="13839" max="14078" width="9" style="60"/>
    <col min="14079" max="14079" width="53.125" style="60" customWidth="1"/>
    <col min="14080" max="14080" width="0.25" style="60" customWidth="1"/>
    <col min="14081" max="14083" width="9.75" style="60" customWidth="1"/>
    <col min="14084" max="14091" width="10.875" style="60" customWidth="1"/>
    <col min="14092" max="14092" width="12.375" style="60" customWidth="1"/>
    <col min="14093" max="14093" width="12.375" style="60" bestFit="1" customWidth="1"/>
    <col min="14094" max="14094" width="10.5" style="60" bestFit="1" customWidth="1"/>
    <col min="14095" max="14334" width="9" style="60"/>
    <col min="14335" max="14335" width="53.125" style="60" customWidth="1"/>
    <col min="14336" max="14336" width="0.25" style="60" customWidth="1"/>
    <col min="14337" max="14339" width="9.75" style="60" customWidth="1"/>
    <col min="14340" max="14347" width="10.875" style="60" customWidth="1"/>
    <col min="14348" max="14348" width="12.375" style="60" customWidth="1"/>
    <col min="14349" max="14349" width="12.375" style="60" bestFit="1" customWidth="1"/>
    <col min="14350" max="14350" width="10.5" style="60" bestFit="1" customWidth="1"/>
    <col min="14351" max="14590" width="9" style="60"/>
    <col min="14591" max="14591" width="53.125" style="60" customWidth="1"/>
    <col min="14592" max="14592" width="0.25" style="60" customWidth="1"/>
    <col min="14593" max="14595" width="9.75" style="60" customWidth="1"/>
    <col min="14596" max="14603" width="10.875" style="60" customWidth="1"/>
    <col min="14604" max="14604" width="12.375" style="60" customWidth="1"/>
    <col min="14605" max="14605" width="12.375" style="60" bestFit="1" customWidth="1"/>
    <col min="14606" max="14606" width="10.5" style="60" bestFit="1" customWidth="1"/>
    <col min="14607" max="14846" width="9" style="60"/>
    <col min="14847" max="14847" width="53.125" style="60" customWidth="1"/>
    <col min="14848" max="14848" width="0.25" style="60" customWidth="1"/>
    <col min="14849" max="14851" width="9.75" style="60" customWidth="1"/>
    <col min="14852" max="14859" width="10.875" style="60" customWidth="1"/>
    <col min="14860" max="14860" width="12.375" style="60" customWidth="1"/>
    <col min="14861" max="14861" width="12.375" style="60" bestFit="1" customWidth="1"/>
    <col min="14862" max="14862" width="10.5" style="60" bestFit="1" customWidth="1"/>
    <col min="14863" max="15102" width="9" style="60"/>
    <col min="15103" max="15103" width="53.125" style="60" customWidth="1"/>
    <col min="15104" max="15104" width="0.25" style="60" customWidth="1"/>
    <col min="15105" max="15107" width="9.75" style="60" customWidth="1"/>
    <col min="15108" max="15115" width="10.875" style="60" customWidth="1"/>
    <col min="15116" max="15116" width="12.375" style="60" customWidth="1"/>
    <col min="15117" max="15117" width="12.375" style="60" bestFit="1" customWidth="1"/>
    <col min="15118" max="15118" width="10.5" style="60" bestFit="1" customWidth="1"/>
    <col min="15119" max="15358" width="9" style="60"/>
    <col min="15359" max="15359" width="53.125" style="60" customWidth="1"/>
    <col min="15360" max="15360" width="0.25" style="60" customWidth="1"/>
    <col min="15361" max="15363" width="9.75" style="60" customWidth="1"/>
    <col min="15364" max="15371" width="10.875" style="60" customWidth="1"/>
    <col min="15372" max="15372" width="12.375" style="60" customWidth="1"/>
    <col min="15373" max="15373" width="12.375" style="60" bestFit="1" customWidth="1"/>
    <col min="15374" max="15374" width="10.5" style="60" bestFit="1" customWidth="1"/>
    <col min="15375" max="15614" width="9" style="60"/>
    <col min="15615" max="15615" width="53.125" style="60" customWidth="1"/>
    <col min="15616" max="15616" width="0.25" style="60" customWidth="1"/>
    <col min="15617" max="15619" width="9.75" style="60" customWidth="1"/>
    <col min="15620" max="15627" width="10.875" style="60" customWidth="1"/>
    <col min="15628" max="15628" width="12.375" style="60" customWidth="1"/>
    <col min="15629" max="15629" width="12.375" style="60" bestFit="1" customWidth="1"/>
    <col min="15630" max="15630" width="10.5" style="60" bestFit="1" customWidth="1"/>
    <col min="15631" max="15870" width="9" style="60"/>
    <col min="15871" max="15871" width="53.125" style="60" customWidth="1"/>
    <col min="15872" max="15872" width="0.25" style="60" customWidth="1"/>
    <col min="15873" max="15875" width="9.75" style="60" customWidth="1"/>
    <col min="15876" max="15883" width="10.875" style="60" customWidth="1"/>
    <col min="15884" max="15884" width="12.375" style="60" customWidth="1"/>
    <col min="15885" max="15885" width="12.375" style="60" bestFit="1" customWidth="1"/>
    <col min="15886" max="15886" width="10.5" style="60" bestFit="1" customWidth="1"/>
    <col min="15887" max="16126" width="9" style="60"/>
    <col min="16127" max="16127" width="53.125" style="60" customWidth="1"/>
    <col min="16128" max="16128" width="0.25" style="60" customWidth="1"/>
    <col min="16129" max="16131" width="9.75" style="60" customWidth="1"/>
    <col min="16132" max="16139" width="10.875" style="60" customWidth="1"/>
    <col min="16140" max="16140" width="12.375" style="60" customWidth="1"/>
    <col min="16141" max="16141" width="12.375" style="60" bestFit="1" customWidth="1"/>
    <col min="16142" max="16142" width="10.5" style="60" bestFit="1" customWidth="1"/>
    <col min="16143" max="16384" width="9" style="60"/>
  </cols>
  <sheetData>
    <row r="1" spans="1:14" x14ac:dyDescent="0.2">
      <c r="A1" s="66" t="s">
        <v>0</v>
      </c>
      <c r="B1" s="67"/>
      <c r="C1" s="66" t="s">
        <v>729</v>
      </c>
      <c r="D1" s="66" t="s">
        <v>730</v>
      </c>
      <c r="E1" s="66" t="s">
        <v>731</v>
      </c>
      <c r="F1" s="66" t="s">
        <v>732</v>
      </c>
      <c r="G1" s="66" t="s">
        <v>733</v>
      </c>
      <c r="H1" s="66" t="s">
        <v>734</v>
      </c>
      <c r="I1" s="66" t="s">
        <v>735</v>
      </c>
      <c r="J1" s="66" t="s">
        <v>736</v>
      </c>
      <c r="K1" s="66" t="s">
        <v>737</v>
      </c>
      <c r="L1" s="68" t="s">
        <v>738</v>
      </c>
      <c r="M1" s="68" t="s">
        <v>739</v>
      </c>
      <c r="N1" s="66" t="s">
        <v>740</v>
      </c>
    </row>
    <row r="2" spans="1:14" x14ac:dyDescent="0.2">
      <c r="A2" s="69" t="s">
        <v>741</v>
      </c>
      <c r="B2" s="61"/>
      <c r="C2" s="62">
        <f>N2*1</f>
        <v>71706.402984300003</v>
      </c>
      <c r="D2" s="62">
        <v>0</v>
      </c>
      <c r="E2" s="62">
        <v>0</v>
      </c>
      <c r="F2" s="62">
        <v>0</v>
      </c>
      <c r="G2" s="62">
        <v>0</v>
      </c>
      <c r="H2" s="62">
        <v>0</v>
      </c>
      <c r="I2" s="62">
        <v>0</v>
      </c>
      <c r="J2" s="62">
        <v>0</v>
      </c>
      <c r="K2" s="62">
        <v>0</v>
      </c>
      <c r="L2" s="63">
        <v>0</v>
      </c>
      <c r="M2" s="63">
        <v>0</v>
      </c>
      <c r="N2" s="70">
        <f>'Para licitação'!K22</f>
        <v>71706.402984300003</v>
      </c>
    </row>
    <row r="3" spans="1:14" x14ac:dyDescent="0.2">
      <c r="A3" s="69" t="s">
        <v>742</v>
      </c>
      <c r="B3" s="61"/>
      <c r="C3" s="62">
        <f>N3*1</f>
        <v>19630.374991919998</v>
      </c>
      <c r="D3" s="62">
        <v>0</v>
      </c>
      <c r="E3" s="62">
        <v>0</v>
      </c>
      <c r="F3" s="62">
        <v>0</v>
      </c>
      <c r="G3" s="62">
        <v>0</v>
      </c>
      <c r="H3" s="62">
        <v>0</v>
      </c>
      <c r="I3" s="62">
        <v>0</v>
      </c>
      <c r="J3" s="62">
        <v>0</v>
      </c>
      <c r="K3" s="62">
        <v>0</v>
      </c>
      <c r="L3" s="63">
        <v>0</v>
      </c>
      <c r="M3" s="63">
        <v>0</v>
      </c>
      <c r="N3" s="70">
        <f>'Para licitação'!K28</f>
        <v>19630.374991919998</v>
      </c>
    </row>
    <row r="4" spans="1:14" x14ac:dyDescent="0.2">
      <c r="A4" s="69" t="s">
        <v>743</v>
      </c>
      <c r="B4" s="61"/>
      <c r="C4" s="62">
        <f>N4*0.5</f>
        <v>2877.10686592</v>
      </c>
      <c r="D4" s="62">
        <f>N4*0.5</f>
        <v>2877.10686592</v>
      </c>
      <c r="E4" s="62">
        <v>0</v>
      </c>
      <c r="F4" s="62">
        <v>0</v>
      </c>
      <c r="G4" s="62">
        <v>0</v>
      </c>
      <c r="H4" s="62">
        <v>0</v>
      </c>
      <c r="I4" s="62">
        <v>0</v>
      </c>
      <c r="J4" s="62">
        <v>0</v>
      </c>
      <c r="K4" s="62">
        <v>0</v>
      </c>
      <c r="L4" s="63">
        <v>0</v>
      </c>
      <c r="M4" s="63">
        <v>0</v>
      </c>
      <c r="N4" s="70">
        <f>'Para licitação'!K36</f>
        <v>5754.21373184</v>
      </c>
    </row>
    <row r="5" spans="1:14" x14ac:dyDescent="0.2">
      <c r="A5" s="69" t="s">
        <v>744</v>
      </c>
      <c r="B5" s="61"/>
      <c r="C5" s="62">
        <v>0</v>
      </c>
      <c r="D5" s="62">
        <f>N5*0.5</f>
        <v>16507.396277126998</v>
      </c>
      <c r="E5" s="62">
        <f>N5*0.5</f>
        <v>16507.396277126998</v>
      </c>
      <c r="F5" s="62">
        <v>0</v>
      </c>
      <c r="G5" s="62">
        <v>0</v>
      </c>
      <c r="H5" s="62">
        <v>0</v>
      </c>
      <c r="I5" s="62">
        <v>0</v>
      </c>
      <c r="J5" s="62">
        <v>0</v>
      </c>
      <c r="K5" s="62">
        <v>0</v>
      </c>
      <c r="L5" s="63">
        <v>0</v>
      </c>
      <c r="M5" s="63">
        <v>0</v>
      </c>
      <c r="N5" s="70">
        <f>'Para licitação'!K54</f>
        <v>33014.792554253996</v>
      </c>
    </row>
    <row r="6" spans="1:14" x14ac:dyDescent="0.2">
      <c r="A6" s="69" t="s">
        <v>745</v>
      </c>
      <c r="B6" s="61"/>
      <c r="C6" s="62">
        <v>0</v>
      </c>
      <c r="D6" s="62">
        <v>0</v>
      </c>
      <c r="E6" s="62">
        <v>0</v>
      </c>
      <c r="F6" s="62">
        <f t="shared" ref="F6:K6" si="0">$N$6/6</f>
        <v>9663.389994212499</v>
      </c>
      <c r="G6" s="62">
        <f t="shared" si="0"/>
        <v>9663.389994212499</v>
      </c>
      <c r="H6" s="62">
        <f t="shared" si="0"/>
        <v>9663.389994212499</v>
      </c>
      <c r="I6" s="62">
        <f t="shared" si="0"/>
        <v>9663.389994212499</v>
      </c>
      <c r="J6" s="62">
        <f t="shared" si="0"/>
        <v>9663.389994212499</v>
      </c>
      <c r="K6" s="62">
        <f t="shared" si="0"/>
        <v>9663.389994212499</v>
      </c>
      <c r="L6" s="63">
        <v>0</v>
      </c>
      <c r="M6" s="63">
        <v>0</v>
      </c>
      <c r="N6" s="70">
        <f>'Para licitação'!K70</f>
        <v>57980.339965274994</v>
      </c>
    </row>
    <row r="7" spans="1:14" x14ac:dyDescent="0.2">
      <c r="A7" s="69" t="s">
        <v>746</v>
      </c>
      <c r="B7" s="61"/>
      <c r="C7" s="62">
        <v>0</v>
      </c>
      <c r="D7" s="62">
        <v>0</v>
      </c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2">
        <f>$N$7/2</f>
        <v>54875.049719945004</v>
      </c>
      <c r="K7" s="62">
        <f>$N$7/2</f>
        <v>54875.049719945004</v>
      </c>
      <c r="L7" s="63">
        <v>0</v>
      </c>
      <c r="M7" s="63">
        <v>0</v>
      </c>
      <c r="N7" s="70">
        <f>'Para licitação'!K104</f>
        <v>109750.09943989001</v>
      </c>
    </row>
    <row r="8" spans="1:14" x14ac:dyDescent="0.2">
      <c r="A8" s="69" t="s">
        <v>747</v>
      </c>
      <c r="B8" s="61"/>
      <c r="C8" s="62">
        <v>0</v>
      </c>
      <c r="D8" s="62">
        <v>0</v>
      </c>
      <c r="E8" s="62">
        <v>0</v>
      </c>
      <c r="F8" s="62">
        <f t="shared" ref="F8:K8" si="1">$N$8/6</f>
        <v>1599.6453824586667</v>
      </c>
      <c r="G8" s="62">
        <f t="shared" si="1"/>
        <v>1599.6453824586667</v>
      </c>
      <c r="H8" s="62">
        <f t="shared" si="1"/>
        <v>1599.6453824586667</v>
      </c>
      <c r="I8" s="62">
        <f t="shared" si="1"/>
        <v>1599.6453824586667</v>
      </c>
      <c r="J8" s="62">
        <f t="shared" si="1"/>
        <v>1599.6453824586667</v>
      </c>
      <c r="K8" s="62">
        <f t="shared" si="1"/>
        <v>1599.6453824586667</v>
      </c>
      <c r="L8" s="63">
        <v>0</v>
      </c>
      <c r="M8" s="63">
        <v>0</v>
      </c>
      <c r="N8" s="70">
        <f>'Para licitação'!K110</f>
        <v>9597.872294752</v>
      </c>
    </row>
    <row r="9" spans="1:14" x14ac:dyDescent="0.2">
      <c r="A9" s="69" t="s">
        <v>748</v>
      </c>
      <c r="B9" s="61"/>
      <c r="C9" s="62">
        <v>0</v>
      </c>
      <c r="D9" s="62">
        <v>0</v>
      </c>
      <c r="E9" s="62">
        <f>$N$9/4</f>
        <v>31213.291702957002</v>
      </c>
      <c r="F9" s="62">
        <f>$N$9/4</f>
        <v>31213.291702957002</v>
      </c>
      <c r="G9" s="62">
        <f>$N$9/4</f>
        <v>31213.291702957002</v>
      </c>
      <c r="H9" s="62">
        <f>$N$9/4</f>
        <v>31213.291702957002</v>
      </c>
      <c r="I9" s="62">
        <v>0</v>
      </c>
      <c r="J9" s="62">
        <v>0</v>
      </c>
      <c r="K9" s="62">
        <v>0</v>
      </c>
      <c r="L9" s="63">
        <v>0</v>
      </c>
      <c r="M9" s="63">
        <v>0</v>
      </c>
      <c r="N9" s="70">
        <f>'Para licitação'!K126</f>
        <v>124853.16681182801</v>
      </c>
    </row>
    <row r="10" spans="1:14" x14ac:dyDescent="0.2">
      <c r="A10" s="69" t="s">
        <v>749</v>
      </c>
      <c r="B10" s="61"/>
      <c r="C10" s="62">
        <v>0</v>
      </c>
      <c r="D10" s="62">
        <f>N10*0.2</f>
        <v>78215.669648519179</v>
      </c>
      <c r="E10" s="62">
        <v>0</v>
      </c>
      <c r="F10" s="62">
        <v>0</v>
      </c>
      <c r="G10" s="62">
        <f>N10*0.4</f>
        <v>156431.33929703836</v>
      </c>
      <c r="H10" s="62">
        <v>0</v>
      </c>
      <c r="I10" s="62">
        <v>0</v>
      </c>
      <c r="J10" s="62">
        <f>N10*0.4</f>
        <v>156431.33929703836</v>
      </c>
      <c r="K10" s="62">
        <v>0</v>
      </c>
      <c r="L10" s="63">
        <v>0</v>
      </c>
      <c r="M10" s="63">
        <v>0</v>
      </c>
      <c r="N10" s="70">
        <f>'Para licitação'!K156</f>
        <v>391078.34824259591</v>
      </c>
    </row>
    <row r="11" spans="1:14" x14ac:dyDescent="0.2">
      <c r="A11" s="69" t="s">
        <v>750</v>
      </c>
      <c r="B11" s="61"/>
      <c r="C11" s="62">
        <v>0</v>
      </c>
      <c r="D11" s="62">
        <v>0</v>
      </c>
      <c r="E11" s="62">
        <v>0</v>
      </c>
      <c r="F11" s="62">
        <v>0</v>
      </c>
      <c r="G11" s="62">
        <f>$N$11/3</f>
        <v>53651.837953770002</v>
      </c>
      <c r="H11" s="62">
        <f>$N$11/3</f>
        <v>53651.837953770002</v>
      </c>
      <c r="I11" s="62">
        <f>$N$11/3</f>
        <v>53651.837953770002</v>
      </c>
      <c r="J11" s="62">
        <v>0</v>
      </c>
      <c r="K11" s="62">
        <v>0</v>
      </c>
      <c r="L11" s="63">
        <v>0</v>
      </c>
      <c r="M11" s="63">
        <v>0</v>
      </c>
      <c r="N11" s="70">
        <f>'Para licitação'!K174</f>
        <v>160955.51386131</v>
      </c>
    </row>
    <row r="12" spans="1:14" x14ac:dyDescent="0.2">
      <c r="A12" s="69" t="s">
        <v>751</v>
      </c>
      <c r="B12" s="61"/>
      <c r="C12" s="62">
        <v>0</v>
      </c>
      <c r="D12" s="62">
        <v>0</v>
      </c>
      <c r="E12" s="62">
        <v>0</v>
      </c>
      <c r="F12" s="62">
        <v>0</v>
      </c>
      <c r="G12" s="62">
        <f>$N$12/4</f>
        <v>12657.207425799998</v>
      </c>
      <c r="H12" s="62">
        <f>$N$12/4</f>
        <v>12657.207425799998</v>
      </c>
      <c r="I12" s="62">
        <f>$N$12/4</f>
        <v>12657.207425799998</v>
      </c>
      <c r="J12" s="62">
        <f>$N$12/4</f>
        <v>12657.207425799998</v>
      </c>
      <c r="K12" s="62">
        <v>0</v>
      </c>
      <c r="L12" s="63">
        <v>0</v>
      </c>
      <c r="M12" s="63">
        <v>0</v>
      </c>
      <c r="N12" s="70">
        <f>'Para licitação'!K234</f>
        <v>50628.82970319999</v>
      </c>
    </row>
    <row r="13" spans="1:14" x14ac:dyDescent="0.2">
      <c r="A13" s="69" t="s">
        <v>752</v>
      </c>
      <c r="B13" s="61"/>
      <c r="C13" s="62">
        <v>0</v>
      </c>
      <c r="D13" s="62">
        <v>0</v>
      </c>
      <c r="E13" s="62">
        <v>0</v>
      </c>
      <c r="F13" s="62">
        <v>0</v>
      </c>
      <c r="G13" s="62">
        <v>0</v>
      </c>
      <c r="H13" s="62">
        <f>$N$13/2</f>
        <v>61894.536576950028</v>
      </c>
      <c r="I13" s="62">
        <f>$N$13/2</f>
        <v>61894.536576950028</v>
      </c>
      <c r="J13" s="62">
        <v>0</v>
      </c>
      <c r="K13" s="62">
        <v>0</v>
      </c>
      <c r="L13" s="63">
        <v>0</v>
      </c>
      <c r="M13" s="63">
        <v>0</v>
      </c>
      <c r="N13" s="70">
        <f>'Para licitação'!K304</f>
        <v>123789.07315390006</v>
      </c>
    </row>
    <row r="14" spans="1:14" x14ac:dyDescent="0.2">
      <c r="A14" s="69" t="s">
        <v>753</v>
      </c>
      <c r="B14" s="61"/>
      <c r="C14" s="62">
        <v>0</v>
      </c>
      <c r="D14" s="62">
        <v>0</v>
      </c>
      <c r="E14" s="62">
        <v>0</v>
      </c>
      <c r="F14" s="62">
        <v>0</v>
      </c>
      <c r="G14" s="62">
        <v>0</v>
      </c>
      <c r="H14" s="62">
        <v>0</v>
      </c>
      <c r="I14" s="62">
        <f>$N$14/2</f>
        <v>29825.344811500003</v>
      </c>
      <c r="J14" s="62">
        <f>$N$14/2</f>
        <v>29825.344811500003</v>
      </c>
      <c r="K14" s="62">
        <v>0</v>
      </c>
      <c r="L14" s="63">
        <v>0</v>
      </c>
      <c r="M14" s="63">
        <v>0</v>
      </c>
      <c r="N14" s="70">
        <f>'Para licitação'!K366</f>
        <v>59650.689623000006</v>
      </c>
    </row>
    <row r="15" spans="1:14" x14ac:dyDescent="0.2">
      <c r="A15" s="69" t="s">
        <v>754</v>
      </c>
      <c r="B15" s="61"/>
      <c r="C15" s="62">
        <v>0</v>
      </c>
      <c r="D15" s="62">
        <v>0</v>
      </c>
      <c r="E15" s="62">
        <v>0</v>
      </c>
      <c r="F15" s="62">
        <v>0</v>
      </c>
      <c r="G15" s="62">
        <f>$N$15/2</f>
        <v>1219.7123645000001</v>
      </c>
      <c r="H15" s="62">
        <f>$N$15/2</f>
        <v>1219.7123645000001</v>
      </c>
      <c r="I15" s="62">
        <v>0</v>
      </c>
      <c r="J15" s="62">
        <v>0</v>
      </c>
      <c r="K15" s="62">
        <v>0</v>
      </c>
      <c r="L15" s="63">
        <v>0</v>
      </c>
      <c r="M15" s="63">
        <v>0</v>
      </c>
      <c r="N15" s="70">
        <f>'Para licitação'!K390</f>
        <v>2439.4247290000003</v>
      </c>
    </row>
    <row r="16" spans="1:14" x14ac:dyDescent="0.2">
      <c r="A16" s="69" t="s">
        <v>755</v>
      </c>
      <c r="B16" s="61"/>
      <c r="C16" s="62">
        <v>0</v>
      </c>
      <c r="D16" s="62">
        <v>0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f>$N$16/2</f>
        <v>4663.2691489999997</v>
      </c>
      <c r="K16" s="62">
        <f>$N$16/2</f>
        <v>4663.2691489999997</v>
      </c>
      <c r="L16" s="63">
        <v>0</v>
      </c>
      <c r="M16" s="63">
        <v>0</v>
      </c>
      <c r="N16" s="70">
        <f>'Para licitação'!K406</f>
        <v>9326.5382979999995</v>
      </c>
    </row>
    <row r="17" spans="1:14" x14ac:dyDescent="0.2">
      <c r="A17" s="69" t="s">
        <v>756</v>
      </c>
      <c r="B17" s="61"/>
      <c r="C17" s="62">
        <v>0</v>
      </c>
      <c r="D17" s="62">
        <v>0</v>
      </c>
      <c r="E17" s="62">
        <v>0</v>
      </c>
      <c r="F17" s="62">
        <f>$N$17/5</f>
        <v>55317.796632056008</v>
      </c>
      <c r="G17" s="62">
        <f>$N$17/5</f>
        <v>55317.796632056008</v>
      </c>
      <c r="H17" s="62">
        <f>$N$17/5</f>
        <v>55317.796632056008</v>
      </c>
      <c r="I17" s="62">
        <f>$N$17/5</f>
        <v>55317.796632056008</v>
      </c>
      <c r="J17" s="62">
        <f>$N$17/5</f>
        <v>55317.796632056008</v>
      </c>
      <c r="K17" s="62">
        <v>0</v>
      </c>
      <c r="L17" s="63">
        <v>0</v>
      </c>
      <c r="M17" s="63">
        <v>0</v>
      </c>
      <c r="N17" s="70">
        <f>'Para licitação'!K520</f>
        <v>276588.98316028004</v>
      </c>
    </row>
    <row r="18" spans="1:14" ht="24" x14ac:dyDescent="0.2">
      <c r="A18" s="69" t="s">
        <v>757</v>
      </c>
      <c r="B18" s="61"/>
      <c r="C18" s="62">
        <v>0</v>
      </c>
      <c r="D18" s="62">
        <v>0</v>
      </c>
      <c r="E18" s="62">
        <v>0</v>
      </c>
      <c r="F18" s="62">
        <v>0</v>
      </c>
      <c r="G18" s="62">
        <v>0</v>
      </c>
      <c r="H18" s="62">
        <v>0</v>
      </c>
      <c r="I18" s="62">
        <f>$N$18/3</f>
        <v>18582.655270666666</v>
      </c>
      <c r="J18" s="62">
        <f>$N$18/3</f>
        <v>18582.655270666666</v>
      </c>
      <c r="K18" s="62">
        <f>$N$18/3</f>
        <v>18582.655270666666</v>
      </c>
      <c r="L18" s="63">
        <v>0</v>
      </c>
      <c r="M18" s="63">
        <v>0</v>
      </c>
      <c r="N18" s="70">
        <f>'Para licitação'!K542</f>
        <v>55747.965811999995</v>
      </c>
    </row>
    <row r="19" spans="1:14" x14ac:dyDescent="0.2">
      <c r="A19" s="69" t="s">
        <v>758</v>
      </c>
      <c r="B19" s="61"/>
      <c r="C19" s="62">
        <v>0</v>
      </c>
      <c r="D19" s="62">
        <v>0</v>
      </c>
      <c r="E19" s="62">
        <v>0</v>
      </c>
      <c r="F19" s="62">
        <v>0</v>
      </c>
      <c r="G19" s="62">
        <v>0</v>
      </c>
      <c r="H19" s="62">
        <v>0</v>
      </c>
      <c r="I19" s="62">
        <f>$N$19/3</f>
        <v>65340.353444823333</v>
      </c>
      <c r="J19" s="62">
        <f>$N$19/3</f>
        <v>65340.353444823333</v>
      </c>
      <c r="K19" s="62">
        <f>$N$19/3</f>
        <v>65340.353444823333</v>
      </c>
      <c r="L19" s="63">
        <v>0</v>
      </c>
      <c r="M19" s="63">
        <v>0</v>
      </c>
      <c r="N19" s="70">
        <f>'Para licitação'!K562</f>
        <v>196021.06033447001</v>
      </c>
    </row>
    <row r="20" spans="1:14" x14ac:dyDescent="0.2">
      <c r="A20" s="69" t="s">
        <v>759</v>
      </c>
      <c r="B20" s="61"/>
      <c r="C20" s="62">
        <v>0</v>
      </c>
      <c r="D20" s="62">
        <v>0</v>
      </c>
      <c r="E20" s="62">
        <v>0</v>
      </c>
      <c r="F20" s="62">
        <v>0</v>
      </c>
      <c r="G20" s="62">
        <v>0</v>
      </c>
      <c r="H20" s="62">
        <v>0</v>
      </c>
      <c r="I20" s="62">
        <f>$N$20/3</f>
        <v>3339.0608918333332</v>
      </c>
      <c r="J20" s="62">
        <f>$N$20/3</f>
        <v>3339.0608918333332</v>
      </c>
      <c r="K20" s="62">
        <f>$N$20/3</f>
        <v>3339.0608918333332</v>
      </c>
      <c r="L20" s="63">
        <v>0</v>
      </c>
      <c r="M20" s="63">
        <v>0</v>
      </c>
      <c r="N20" s="70">
        <f>'Para licitação'!K568</f>
        <v>10017.1826755</v>
      </c>
    </row>
    <row r="21" spans="1:14" x14ac:dyDescent="0.2">
      <c r="A21" s="69" t="s">
        <v>760</v>
      </c>
      <c r="B21" s="61"/>
      <c r="C21" s="62">
        <v>0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62">
        <f>$N$21/2</f>
        <v>74945.50315994001</v>
      </c>
      <c r="K21" s="62">
        <f>$N$21/2</f>
        <v>74945.50315994001</v>
      </c>
      <c r="L21" s="63">
        <v>0</v>
      </c>
      <c r="M21" s="63">
        <v>0</v>
      </c>
      <c r="N21" s="70">
        <f>'Para licitação'!K598</f>
        <v>149891.00631988002</v>
      </c>
    </row>
    <row r="22" spans="1:14" x14ac:dyDescent="0.2">
      <c r="A22" s="69" t="s">
        <v>761</v>
      </c>
      <c r="B22" s="61"/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62">
        <f>$N$22/2</f>
        <v>142849.70873369</v>
      </c>
      <c r="K22" s="62">
        <f>$N$22/2</f>
        <v>142849.70873369</v>
      </c>
      <c r="L22" s="63">
        <v>0</v>
      </c>
      <c r="M22" s="63">
        <v>0</v>
      </c>
      <c r="N22" s="70">
        <f>'Para licitação'!K614</f>
        <v>285699.41746738</v>
      </c>
    </row>
    <row r="23" spans="1:14" x14ac:dyDescent="0.2">
      <c r="A23" s="69" t="s">
        <v>762</v>
      </c>
      <c r="B23" s="61"/>
      <c r="C23" s="62">
        <v>0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2">
        <f>$N$23/2</f>
        <v>904.12373940000009</v>
      </c>
      <c r="L23" s="62">
        <f>$N$23/2</f>
        <v>904.12373940000009</v>
      </c>
      <c r="M23" s="63">
        <v>0</v>
      </c>
      <c r="N23" s="70">
        <f>'Para licitação'!K620</f>
        <v>1808.2474788000002</v>
      </c>
    </row>
    <row r="24" spans="1:14" x14ac:dyDescent="0.2">
      <c r="A24" s="69" t="s">
        <v>763</v>
      </c>
      <c r="B24" s="61"/>
      <c r="C24" s="62">
        <v>0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2">
        <f>$N$24/2</f>
        <v>17335.933524979999</v>
      </c>
      <c r="L24" s="62">
        <f>$N$24/2</f>
        <v>17335.933524979999</v>
      </c>
      <c r="M24" s="63">
        <v>0</v>
      </c>
      <c r="N24" s="70">
        <f>'Para licitação'!K630</f>
        <v>34671.867049959998</v>
      </c>
    </row>
    <row r="25" spans="1:14" x14ac:dyDescent="0.2">
      <c r="A25" s="69" t="s">
        <v>764</v>
      </c>
      <c r="B25" s="61"/>
      <c r="C25" s="62">
        <v>0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v>0</v>
      </c>
      <c r="J25" s="62">
        <v>0</v>
      </c>
      <c r="K25" s="62">
        <f>$N$25/2</f>
        <v>22092.648360265001</v>
      </c>
      <c r="L25" s="62">
        <f>$N$25/2</f>
        <v>22092.648360265001</v>
      </c>
      <c r="M25" s="63">
        <v>0</v>
      </c>
      <c r="N25" s="70">
        <f>'Para licitação'!K638</f>
        <v>44185.296720530001</v>
      </c>
    </row>
    <row r="26" spans="1:14" x14ac:dyDescent="0.2">
      <c r="A26" s="69" t="s">
        <v>765</v>
      </c>
      <c r="B26" s="61"/>
      <c r="C26" s="62">
        <v>0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f>$N$26/2</f>
        <v>8036.9685095000004</v>
      </c>
      <c r="L26" s="62">
        <f>$N$26/2</f>
        <v>8036.9685095000004</v>
      </c>
      <c r="M26" s="63">
        <v>0</v>
      </c>
      <c r="N26" s="70">
        <f>'Para licitação'!K662</f>
        <v>16073.937019000001</v>
      </c>
    </row>
    <row r="27" spans="1:14" x14ac:dyDescent="0.2">
      <c r="A27" s="69" t="s">
        <v>766</v>
      </c>
      <c r="B27" s="61"/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0</v>
      </c>
      <c r="L27" s="63">
        <f>$N$27/2</f>
        <v>8386.1623369999998</v>
      </c>
      <c r="M27" s="63">
        <f>$N$27/2</f>
        <v>8386.1623369999998</v>
      </c>
      <c r="N27" s="70">
        <f>'Para licitação'!K676</f>
        <v>16772.324674</v>
      </c>
    </row>
    <row r="28" spans="1:14" x14ac:dyDescent="0.2">
      <c r="A28" s="69" t="s">
        <v>767</v>
      </c>
      <c r="B28" s="61"/>
      <c r="C28" s="62">
        <v>0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2">
        <v>0</v>
      </c>
      <c r="L28" s="63">
        <f>$N$28/2</f>
        <v>2562.9701209000004</v>
      </c>
      <c r="M28" s="63">
        <f>$N$28/2</f>
        <v>2562.9701209000004</v>
      </c>
      <c r="N28" s="70">
        <f>'Para licitação'!K688</f>
        <v>5125.9402418000009</v>
      </c>
    </row>
    <row r="29" spans="1:14" x14ac:dyDescent="0.2">
      <c r="A29" s="69" t="s">
        <v>768</v>
      </c>
      <c r="B29" s="61"/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2">
        <v>0</v>
      </c>
      <c r="L29" s="63">
        <f>$N$29/2</f>
        <v>1686.7081866250001</v>
      </c>
      <c r="M29" s="63">
        <f>$N$29/2</f>
        <v>1686.7081866250001</v>
      </c>
      <c r="N29" s="70">
        <f>'Para licitação'!K694</f>
        <v>3373.4163732500001</v>
      </c>
    </row>
    <row r="30" spans="1:14" x14ac:dyDescent="0.2">
      <c r="A30" s="69" t="s">
        <v>769</v>
      </c>
      <c r="B30" s="61"/>
      <c r="C30" s="64">
        <f t="shared" ref="C30:N30" si="2">SUM(C2:C29)</f>
        <v>94213.884842140003</v>
      </c>
      <c r="D30" s="64">
        <f t="shared" si="2"/>
        <v>97600.172791566176</v>
      </c>
      <c r="E30" s="64">
        <f t="shared" si="2"/>
        <v>47720.687980083996</v>
      </c>
      <c r="F30" s="64">
        <f t="shared" si="2"/>
        <v>97794.123711684166</v>
      </c>
      <c r="G30" s="64">
        <f t="shared" si="2"/>
        <v>321754.22075279249</v>
      </c>
      <c r="H30" s="64">
        <f t="shared" si="2"/>
        <v>227217.41803270421</v>
      </c>
      <c r="I30" s="64">
        <f t="shared" si="2"/>
        <v>311871.82838407054</v>
      </c>
      <c r="J30" s="64">
        <f t="shared" si="2"/>
        <v>630090.32391296385</v>
      </c>
      <c r="K30" s="64">
        <f t="shared" si="2"/>
        <v>424228.30988071446</v>
      </c>
      <c r="L30" s="64">
        <f t="shared" si="2"/>
        <v>61005.514778670004</v>
      </c>
      <c r="M30" s="64">
        <f t="shared" si="2"/>
        <v>12635.840644525</v>
      </c>
      <c r="N30" s="70">
        <f t="shared" si="2"/>
        <v>2326132.3257119153</v>
      </c>
    </row>
    <row r="31" spans="1:14" x14ac:dyDescent="0.2">
      <c r="A31" s="69" t="s">
        <v>770</v>
      </c>
      <c r="B31" s="61"/>
      <c r="C31" s="62">
        <f>C30</f>
        <v>94213.884842140003</v>
      </c>
      <c r="D31" s="62">
        <f t="shared" ref="D31:M31" si="3">C31+D30</f>
        <v>191814.05763370619</v>
      </c>
      <c r="E31" s="62">
        <f t="shared" si="3"/>
        <v>239534.74561379018</v>
      </c>
      <c r="F31" s="62">
        <f t="shared" si="3"/>
        <v>337328.86932547437</v>
      </c>
      <c r="G31" s="62">
        <f t="shared" si="3"/>
        <v>659083.0900782668</v>
      </c>
      <c r="H31" s="62">
        <f t="shared" si="3"/>
        <v>886300.50811097096</v>
      </c>
      <c r="I31" s="62">
        <f t="shared" si="3"/>
        <v>1198172.3364950414</v>
      </c>
      <c r="J31" s="62">
        <f t="shared" si="3"/>
        <v>1828262.6604080051</v>
      </c>
      <c r="K31" s="62">
        <f t="shared" si="3"/>
        <v>2252490.9702887195</v>
      </c>
      <c r="L31" s="62">
        <f t="shared" si="3"/>
        <v>2313496.4850673894</v>
      </c>
      <c r="M31" s="62">
        <f t="shared" si="3"/>
        <v>2326132.3257119143</v>
      </c>
      <c r="N31" s="71"/>
    </row>
    <row r="33" spans="14:14" x14ac:dyDescent="0.2">
      <c r="N33" s="65"/>
    </row>
  </sheetData>
  <pageMargins left="0.511811024" right="0.511811024" top="0.78740157499999996" bottom="0.78740157499999996" header="0.31496062000000002" footer="0.31496062000000002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Para licitação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User_Win7</dc:creator>
  <cp:lastModifiedBy>Eduardo Preuss da Silva</cp:lastModifiedBy>
  <cp:lastPrinted>2020-01-21T18:33:44Z</cp:lastPrinted>
  <dcterms:created xsi:type="dcterms:W3CDTF">2017-08-28T21:24:40Z</dcterms:created>
  <dcterms:modified xsi:type="dcterms:W3CDTF">2020-02-04T13:57:17Z</dcterms:modified>
</cp:coreProperties>
</file>