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az-Renata\Planilha de custos\Canil e Gatil\Proc. Administrativo 4.8022025\"/>
    </mc:Choice>
  </mc:AlternateContent>
  <bookViews>
    <workbookView xWindow="0" yWindow="0" windowWidth="28800" windowHeight="12435" tabRatio="774" firstSheet="1" activeTab="11"/>
  </bookViews>
  <sheets>
    <sheet name="PLANILHA DE CUSTO" sheetId="6" r:id="rId1"/>
    <sheet name="RESPONSÁVEL TÉCNICO" sheetId="11" r:id="rId2"/>
    <sheet name="AUXILIAR " sheetId="12" r:id="rId3"/>
    <sheet name="TRATADOR" sheetId="13" r:id="rId4"/>
    <sheet name="ZELADOR" sheetId="14" r:id="rId5"/>
    <sheet name="MOTORISTA" sheetId="15" r:id="rId6"/>
    <sheet name="VETERINÁRIO" sheetId="10" r:id="rId7"/>
    <sheet name="CARRO" sheetId="16" r:id="rId8"/>
    <sheet name="EQUIPAMENTOS" sheetId="18" r:id="rId9"/>
    <sheet name="ALIMENTOS, MEDICAMENTOS E MAT." sheetId="19" r:id="rId10"/>
    <sheet name="LIMPEZA" sheetId="20" r:id="rId11"/>
    <sheet name="notas explicativas" sheetId="17" r:id="rId12"/>
  </sheets>
  <definedNames>
    <definedName name="_GoBack" localSheetId="0">'PLANILHA DE CUSTO'!#REF!</definedName>
    <definedName name="_xlnm.Print_Area" localSheetId="0">'PLANILHA DE CUSTO'!$B$1:$I$139</definedName>
    <definedName name="OLE_LINK1" localSheetId="0">'PLANILHA DE CUSTO'!#REF!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3" l="1"/>
  <c r="D28" i="12"/>
  <c r="H16" i="6" l="1"/>
  <c r="H15" i="6"/>
  <c r="H14" i="6"/>
  <c r="H24" i="6"/>
  <c r="H87" i="6" l="1"/>
  <c r="H34" i="6"/>
  <c r="H33" i="6"/>
  <c r="H32" i="6"/>
  <c r="H89" i="6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3" i="20"/>
  <c r="G21" i="20"/>
  <c r="G20" i="20"/>
  <c r="G19" i="20"/>
  <c r="G18" i="20"/>
  <c r="G17" i="20"/>
  <c r="G16" i="20"/>
  <c r="G15" i="20"/>
  <c r="G12" i="20"/>
  <c r="G13" i="20"/>
  <c r="G14" i="20"/>
  <c r="G11" i="20"/>
  <c r="G10" i="20"/>
  <c r="G9" i="20"/>
  <c r="G8" i="20"/>
  <c r="G7" i="20"/>
  <c r="G6" i="20"/>
  <c r="G5" i="20"/>
  <c r="G4" i="20"/>
  <c r="G3" i="20"/>
  <c r="H22" i="20" l="1"/>
  <c r="H42" i="6"/>
  <c r="E112" i="6"/>
  <c r="H100" i="6"/>
  <c r="H99" i="6"/>
  <c r="H98" i="6"/>
  <c r="H97" i="6"/>
  <c r="H96" i="6"/>
  <c r="H95" i="6"/>
  <c r="H94" i="6"/>
  <c r="H93" i="6"/>
  <c r="H90" i="6"/>
  <c r="E119" i="6" s="1"/>
  <c r="H35" i="6"/>
  <c r="H17" i="6"/>
  <c r="G72" i="6"/>
  <c r="G79" i="6"/>
  <c r="G60" i="6"/>
  <c r="H101" i="6" l="1"/>
  <c r="E120" i="6" s="1"/>
  <c r="G81" i="6"/>
  <c r="G83" i="6" s="1"/>
  <c r="G84" i="6" l="1"/>
  <c r="D28" i="19" l="1"/>
  <c r="D21" i="19"/>
  <c r="D14" i="19"/>
  <c r="D7" i="19"/>
  <c r="D30" i="19" s="1"/>
  <c r="D31" i="19" s="1"/>
  <c r="H8" i="18" l="1"/>
  <c r="H7" i="18"/>
  <c r="F7" i="18"/>
  <c r="E7" i="18"/>
  <c r="H6" i="18"/>
  <c r="F6" i="18"/>
  <c r="E6" i="18"/>
  <c r="H5" i="18"/>
  <c r="F5" i="18"/>
  <c r="E5" i="18"/>
  <c r="H4" i="18"/>
  <c r="F4" i="18"/>
  <c r="E4" i="18"/>
  <c r="E3" i="18"/>
  <c r="F3" i="18"/>
  <c r="H3" i="18" s="1"/>
  <c r="H15" i="16" l="1"/>
  <c r="C101" i="13"/>
  <c r="B87" i="13"/>
  <c r="B82" i="13"/>
  <c r="B74" i="13"/>
  <c r="B64" i="13"/>
  <c r="B89" i="13" s="1"/>
  <c r="C29" i="13" s="1"/>
  <c r="D41" i="13"/>
  <c r="E41" i="13" s="1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42" i="13" s="1"/>
  <c r="E42" i="13" s="1"/>
  <c r="B13" i="13" s="1"/>
  <c r="D13" i="13" s="1"/>
  <c r="D27" i="13"/>
  <c r="C101" i="12"/>
  <c r="B87" i="12"/>
  <c r="B82" i="12"/>
  <c r="B74" i="12"/>
  <c r="B64" i="12"/>
  <c r="B89" i="12" s="1"/>
  <c r="C29" i="12" s="1"/>
  <c r="E41" i="12"/>
  <c r="D41" i="12"/>
  <c r="D40" i="12"/>
  <c r="E40" i="12" s="1"/>
  <c r="D39" i="12"/>
  <c r="E39" i="12" s="1"/>
  <c r="D38" i="12"/>
  <c r="E38" i="12" s="1"/>
  <c r="D37" i="12"/>
  <c r="E37" i="12" s="1"/>
  <c r="D36" i="12"/>
  <c r="E36" i="12" s="1"/>
  <c r="E35" i="12"/>
  <c r="D35" i="12"/>
  <c r="D27" i="12"/>
  <c r="I15" i="16"/>
  <c r="E14" i="16"/>
  <c r="D28" i="1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5" i="10"/>
  <c r="E35" i="10" s="1"/>
  <c r="D28" i="10"/>
  <c r="E35" i="13" l="1"/>
  <c r="D29" i="13"/>
  <c r="D30" i="13" s="1"/>
  <c r="D42" i="12"/>
  <c r="E42" i="12" s="1"/>
  <c r="B13" i="12" s="1"/>
  <c r="D13" i="12" s="1"/>
  <c r="D29" i="12"/>
  <c r="D30" i="12" s="1"/>
  <c r="D42" i="10"/>
  <c r="E8" i="16"/>
  <c r="E7" i="16"/>
  <c r="E15" i="16"/>
  <c r="E13" i="16"/>
  <c r="E12" i="16"/>
  <c r="I10" i="16"/>
  <c r="I11" i="16" s="1"/>
  <c r="I12" i="16" s="1"/>
  <c r="E9" i="16"/>
  <c r="E6" i="16"/>
  <c r="B12" i="13" l="1"/>
  <c r="D44" i="13"/>
  <c r="B12" i="12"/>
  <c r="H23" i="6" s="1"/>
  <c r="D44" i="12"/>
  <c r="E11" i="16"/>
  <c r="E17" i="16"/>
  <c r="D49" i="13" l="1"/>
  <c r="B14" i="13" s="1"/>
  <c r="D51" i="13"/>
  <c r="B15" i="13"/>
  <c r="D17" i="13" s="1"/>
  <c r="D12" i="13"/>
  <c r="D15" i="13" s="1"/>
  <c r="D49" i="12"/>
  <c r="B14" i="12" s="1"/>
  <c r="D12" i="12"/>
  <c r="D15" i="12" s="1"/>
  <c r="E18" i="16"/>
  <c r="D14" i="13" l="1"/>
  <c r="D14" i="12"/>
  <c r="H25" i="6"/>
  <c r="B15" i="12"/>
  <c r="D51" i="12"/>
  <c r="G19" i="16"/>
  <c r="G20" i="16" s="1"/>
  <c r="G21" i="16" s="1"/>
  <c r="G22" i="16" s="1"/>
  <c r="D17" i="12" l="1"/>
  <c r="H26" i="6"/>
  <c r="H27" i="6" s="1"/>
  <c r="D28" i="15"/>
  <c r="D30" i="15"/>
  <c r="D29" i="15"/>
  <c r="C101" i="15"/>
  <c r="B87" i="15"/>
  <c r="B82" i="15"/>
  <c r="B74" i="15"/>
  <c r="B64" i="15"/>
  <c r="D41" i="15"/>
  <c r="E41" i="15" s="1"/>
  <c r="D40" i="15"/>
  <c r="E40" i="15" s="1"/>
  <c r="D39" i="15"/>
  <c r="E39" i="15" s="1"/>
  <c r="D38" i="15"/>
  <c r="E38" i="15" s="1"/>
  <c r="D37" i="15"/>
  <c r="B89" i="15" l="1"/>
  <c r="C28" i="15" s="1"/>
  <c r="D42" i="15"/>
  <c r="E42" i="15" s="1"/>
  <c r="B14" i="15" s="1"/>
  <c r="E37" i="15"/>
  <c r="D32" i="15"/>
  <c r="D44" i="15" l="1"/>
  <c r="B13" i="15"/>
  <c r="D49" i="15" l="1"/>
  <c r="B15" i="15" s="1"/>
  <c r="D51" i="15" l="1"/>
  <c r="B16" i="15"/>
  <c r="D18" i="15" s="1"/>
  <c r="D14" i="15" l="1"/>
  <c r="D13" i="15"/>
  <c r="D15" i="15"/>
  <c r="D16" i="15" l="1"/>
  <c r="D31" i="14" l="1"/>
  <c r="D30" i="14"/>
  <c r="D28" i="14"/>
  <c r="D29" i="14" s="1"/>
  <c r="C104" i="14"/>
  <c r="B90" i="14"/>
  <c r="B85" i="14"/>
  <c r="B77" i="14"/>
  <c r="B67" i="14"/>
  <c r="D44" i="14"/>
  <c r="E44" i="14" s="1"/>
  <c r="D43" i="14"/>
  <c r="E43" i="14" s="1"/>
  <c r="D42" i="14"/>
  <c r="E42" i="14" s="1"/>
  <c r="D41" i="14"/>
  <c r="E41" i="14" s="1"/>
  <c r="D40" i="14"/>
  <c r="E40" i="14" s="1"/>
  <c r="D39" i="14"/>
  <c r="E39" i="14" s="1"/>
  <c r="D38" i="14"/>
  <c r="E38" i="14" s="1"/>
  <c r="C101" i="10"/>
  <c r="B87" i="10"/>
  <c r="B82" i="10"/>
  <c r="B74" i="10"/>
  <c r="B64" i="10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B89" i="10" l="1"/>
  <c r="C29" i="10" s="1"/>
  <c r="E42" i="10"/>
  <c r="B14" i="10" s="1"/>
  <c r="D45" i="14"/>
  <c r="E45" i="14" s="1"/>
  <c r="B14" i="14" s="1"/>
  <c r="B92" i="14"/>
  <c r="C29" i="14" s="1"/>
  <c r="D33" i="14"/>
  <c r="D29" i="10"/>
  <c r="D30" i="10" s="1"/>
  <c r="C101" i="11"/>
  <c r="B87" i="11"/>
  <c r="B82" i="11"/>
  <c r="B74" i="11"/>
  <c r="B64" i="11"/>
  <c r="B89" i="11" l="1"/>
  <c r="C29" i="11" s="1"/>
  <c r="D47" i="14"/>
  <c r="B13" i="14"/>
  <c r="D52" i="14"/>
  <c r="B15" i="14" s="1"/>
  <c r="B16" i="14" s="1"/>
  <c r="D18" i="14" s="1"/>
  <c r="D44" i="10"/>
  <c r="B13" i="10"/>
  <c r="H41" i="6" s="1"/>
  <c r="D42" i="11"/>
  <c r="E42" i="11" s="1"/>
  <c r="B14" i="11" s="1"/>
  <c r="D29" i="11"/>
  <c r="D30" i="11" s="1"/>
  <c r="D54" i="14" l="1"/>
  <c r="D49" i="10"/>
  <c r="B15" i="10" s="1"/>
  <c r="H43" i="6" s="1"/>
  <c r="H44" i="6" s="1"/>
  <c r="H47" i="6" s="1"/>
  <c r="B13" i="11"/>
  <c r="D44" i="11"/>
  <c r="D14" i="14" l="1"/>
  <c r="D13" i="14"/>
  <c r="D15" i="14"/>
  <c r="D51" i="10"/>
  <c r="B16" i="10"/>
  <c r="D18" i="10" s="1"/>
  <c r="D49" i="11"/>
  <c r="B15" i="11" s="1"/>
  <c r="B16" i="11" s="1"/>
  <c r="D18" i="11" s="1"/>
  <c r="D16" i="14" l="1"/>
  <c r="D14" i="10"/>
  <c r="D13" i="10"/>
  <c r="D15" i="10"/>
  <c r="D51" i="11"/>
  <c r="D16" i="10" l="1"/>
  <c r="D14" i="11"/>
  <c r="D13" i="11"/>
  <c r="D15" i="11"/>
  <c r="D16" i="11" l="1"/>
  <c r="E118" i="6" l="1"/>
  <c r="E121" i="6" s="1"/>
  <c r="H123" i="6" s="1"/>
</calcChain>
</file>

<file path=xl/sharedStrings.xml><?xml version="1.0" encoding="utf-8"?>
<sst xmlns="http://schemas.openxmlformats.org/spreadsheetml/2006/main" count="961" uniqueCount="333">
  <si>
    <t>PLANILHA DE CUSTOS E FORMAÇÃO DE PREÇOS</t>
  </si>
  <si>
    <t xml:space="preserve">PROCESSO LICITATÓRIO N° </t>
  </si>
  <si>
    <t>MODALIDADE</t>
  </si>
  <si>
    <t>COMPOSIÇÃO DO CUSTO MENSAL</t>
  </si>
  <si>
    <t>Valor Unit</t>
  </si>
  <si>
    <t>Custo Unit.</t>
  </si>
  <si>
    <t>II - SALÁRIO ESTIMADO DO PROFISSIONAL - REMUNERAÇÃO</t>
  </si>
  <si>
    <t>TOTAL - REMUNERAÇÃO</t>
  </si>
  <si>
    <t>(%)</t>
  </si>
  <si>
    <t>TOTAL INSUMOS</t>
  </si>
  <si>
    <t>QUADRO RESUMO DO ORÇAMENTO ESTIMADO</t>
  </si>
  <si>
    <t>MÃO DE OBRA</t>
  </si>
  <si>
    <t>DESCRIÇÃO</t>
  </si>
  <si>
    <t>QTDE</t>
  </si>
  <si>
    <t>Materiais/ Insumos/Outros</t>
  </si>
  <si>
    <t>Valor Total Estimado</t>
  </si>
  <si>
    <t>RESUMO GERAL</t>
  </si>
  <si>
    <t>Observações:</t>
  </si>
  <si>
    <t>CUSTO 
MENSAL (R$)</t>
  </si>
  <si>
    <t>OBJETO</t>
  </si>
  <si>
    <t>TOTAL</t>
  </si>
  <si>
    <t>Síntese dos custos</t>
  </si>
  <si>
    <t>Item</t>
  </si>
  <si>
    <t>Custo (R$/mês)</t>
  </si>
  <si>
    <t>%</t>
  </si>
  <si>
    <t>1. Mão de Obra</t>
  </si>
  <si>
    <t>2. EPI's</t>
  </si>
  <si>
    <t>3. BDI</t>
  </si>
  <si>
    <t>Valor Hora</t>
  </si>
  <si>
    <t>Síntese de quantitativos</t>
  </si>
  <si>
    <t>Mão-de-obra</t>
  </si>
  <si>
    <t>Quantidade</t>
  </si>
  <si>
    <t>1. Mão-de-obra</t>
  </si>
  <si>
    <t>Discriminação</t>
  </si>
  <si>
    <t>Unidade</t>
  </si>
  <si>
    <t>Preço unitário</t>
  </si>
  <si>
    <t>Salário Normal</t>
  </si>
  <si>
    <t>mês</t>
  </si>
  <si>
    <t>Adicional de Insalubridade</t>
  </si>
  <si>
    <t>Encargos Sociais</t>
  </si>
  <si>
    <t>Auxílio Alimentação</t>
  </si>
  <si>
    <t>Vale transporte</t>
  </si>
  <si>
    <t>un</t>
  </si>
  <si>
    <t>Seguro de vida</t>
  </si>
  <si>
    <t>Total do Efetivo</t>
  </si>
  <si>
    <t>2. Equipamentos de Proteção Individual</t>
  </si>
  <si>
    <t>Preço Total</t>
  </si>
  <si>
    <t>Preço/mês</t>
  </si>
  <si>
    <t>preço médio unitário</t>
  </si>
  <si>
    <t>frequencia de uso</t>
  </si>
  <si>
    <t>vida útil</t>
  </si>
  <si>
    <t>unidade</t>
  </si>
  <si>
    <t>par</t>
  </si>
  <si>
    <t>Botas de couro cano curto</t>
  </si>
  <si>
    <t>Protetor auricular</t>
  </si>
  <si>
    <t>Creme de proteção solar 4l</t>
  </si>
  <si>
    <t>Respirador descartável sem válvula</t>
  </si>
  <si>
    <t>capa impermeável</t>
  </si>
  <si>
    <t>abafador de ruídos</t>
  </si>
  <si>
    <t xml:space="preserve">Uniforme comum </t>
  </si>
  <si>
    <t>Custo Anual com EPI's</t>
  </si>
  <si>
    <t>Custo mensal com as despesas operacionais</t>
  </si>
  <si>
    <t>3. Benefícios e Despesas Indiretas - BDI</t>
  </si>
  <si>
    <t>Benefícios e despesas indiretas</t>
  </si>
  <si>
    <t>Custo mensal total</t>
  </si>
  <si>
    <t>Grupo A</t>
  </si>
  <si>
    <t>INSS</t>
  </si>
  <si>
    <t>SESI</t>
  </si>
  <si>
    <t>SENAI</t>
  </si>
  <si>
    <t>INCRA</t>
  </si>
  <si>
    <t>SEBRAE</t>
  </si>
  <si>
    <t>Salário Educação</t>
  </si>
  <si>
    <t>Seguro Conta Acidente</t>
  </si>
  <si>
    <t>FGTS</t>
  </si>
  <si>
    <t>Sub-total</t>
  </si>
  <si>
    <t>Grupo B</t>
  </si>
  <si>
    <t>Auxílio Enfermidade</t>
  </si>
  <si>
    <t>13º Salário</t>
  </si>
  <si>
    <t>Licença Paternidade</t>
  </si>
  <si>
    <t>Faltas Justificadas</t>
  </si>
  <si>
    <t>Auxílio Acidente de Trabalho</t>
  </si>
  <si>
    <t>Férias Gozadas</t>
  </si>
  <si>
    <t>Salário Maternidade</t>
  </si>
  <si>
    <t>Grupo C</t>
  </si>
  <si>
    <t>Aviso Prévio Indenizado</t>
  </si>
  <si>
    <t>Aviso Prévio Trabalhado</t>
  </si>
  <si>
    <t xml:space="preserve">Férias indenizadas </t>
  </si>
  <si>
    <t>Depósito Rescisão sem Justa Causa</t>
  </si>
  <si>
    <t>Indenização Adicional</t>
  </si>
  <si>
    <t>Incidência cumulativa</t>
  </si>
  <si>
    <t>Grupo A sobre Grupo B</t>
  </si>
  <si>
    <t>Grupo A e FGTS sobre Aviso Prévio</t>
  </si>
  <si>
    <t>Total Encargos Sociais</t>
  </si>
  <si>
    <t>Composição do BDI - Benefícios e Despesas Indiretas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</si>
  <si>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</si>
  <si>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</si>
  <si>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</si>
  <si>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</si>
  <si>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</si>
  <si>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</si>
  <si>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</si>
  <si>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</si>
  <si>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</si>
  <si>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</si>
  <si>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</si>
  <si>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</si>
  <si>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</si>
  <si>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</si>
  <si>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Médico Veterinário</t>
  </si>
  <si>
    <t>Planilha de Composição de Custos ( Médico Veterinário Responsável Técnico)</t>
  </si>
  <si>
    <t>Custo Mensal (24 h)</t>
  </si>
  <si>
    <t>Profissionais da CCT considerada: Médicos Veterinários - SIMVETRS</t>
  </si>
  <si>
    <t>Planilha de Composição de Custos ( Médico Veterinário )</t>
  </si>
  <si>
    <t>Custo Mensal (220h)</t>
  </si>
  <si>
    <t>Planilha de Composição de Custos ( Zelador)</t>
  </si>
  <si>
    <t>Seguro Contra Acidente</t>
  </si>
  <si>
    <t>Plano de Benefício Familiar</t>
  </si>
  <si>
    <t>Zelador</t>
  </si>
  <si>
    <t>Custo Mensal (220 h)</t>
  </si>
  <si>
    <t>Quantidade anual</t>
  </si>
  <si>
    <r>
      <t xml:space="preserve">Profissionais da CCT considerada: A presente Convenção Coletiva de Trabalho abrangerá a(s) categoria(s) EMPREGADOS EM EMPRESAS DE ASSEIO E CONSERVAÇÃO, com abrangência territorial em Aceguá/RS, Agudo/RS, Ajuricaba/RS, Alecrim/RS, Alegrete/RS, Alegria/RS, Alpestre/RS, Alto Alegre/RS, Alto Feliz/RS, Alvorada/RS, Ametista do Sul/RS, Arambaré/RS, Araricá/RS, Arroio do Padre/RS, Arroio do Sal/RS, Arroio dos Ratos/RS, Arroio Grande/RS, Augusto Pestana/RS, Áurea/RS, Bagé/RS, Balneário Pinhal/RS, Barão do Triunfo/RS, Barão/RS, Barra do Guarita/RS, Barra do Quaraí/RS, Barra do Ribeiro/RS, Barra do Rio Azul/RS, Barra Funda/RS, Benjamin Constant do Sul/RS, Boa Vista das Missões/RS, Boa Vista do Buricá/RS, Boa Vista do Cadeado/RS, Boa Vista do Incra/RS, Boa Vista do Sul/RS, Bom Princípio/RS, Bom Progresso/RS, Bossoroca/RS, Bozano/RS, Braga/RS, Brochier/RS, Butiá/RS, Caçapava do Sul/RS, Cacequi/RS, Cachoeira do Sul/RS, Cachoeirinha/RS, Caibaté/RS, Caiçara/RS, Camaquã/RS, Camargo/RS, Cambará do Sul/RS, Campestre da Serra/RS, Campina das Missões/RS, Campinas do Sul/RS, Campo Novo/RS, Campos Borges/RS, Cândido Godói/RS, Candiota/RS, Canela/RS, Canguçu/RS, Canoas/RS, Capão Bonito do Sul/RS, Capão da Canoa/RS, Capão do Cipó/RS, Capão do Leão/RS, Capela de Santana/RS, Capivari do Sul/RS, Caraá/RS, Carlos Gomes/RS, Catuípe/RS, Centenário/RS, Cerrito/RS, Cerro Grande do Sul/RS, Cerro Grande/RS, Cerro Largo/RS, Chapada/RS, Charqueadas/RS, Charrua/RS, Chiapetta/RS, Chuí/RS, Cidreira/RS, Colorado/RS, Condor/RS, Coronel Barros/RS, Coronel Bicaco/RS, Coronel Pilar/RS, Crissiumal/RS, Cristal do Sul/RS, Cristal/RS, Cruz Alta/RS, Cruzaltense/RS, Derrubadas/RS, Dezesseis de Novembro/RS, Dilermando de Aguiar/RS, Dois Irmãos das Missões/RS, Dois Lajeados/RS, Dom Pedrito/RS, Dom Pedro de Alcântara/RS, Dona Francisca/RS, Doutor Maurício Cardoso/RS, Eldorado do Sul/RS, Encantado/RS, Engenho Velho/RS, Entre Rios do Sul/RS, Entre-Ijuís/RS, Erval Seco/RS, Esperança do Sul/RS, Eugênio de Castro/RS, Faxinal do Soturno/RS, Faxinalzinho/RS, Feliz/RS, Floriano Peixoto/RS, Fontoura Xavier/RS, Formigueiro/RS, Fortaleza dos Valos/RS, Garruchos/RS, General Câmara/RS, Gentil/RS, Giruá/RS, Glorinha/RS, Gramado dos Loureiros/RS, Gramado/RS, Gravataí/RS, Guaíba/RS, Guarani das Missões/RS, Harmonia/RS, Herval/RS, Horizontina/RS, Hulha Negra/RS, Humaitá/RS, Igrejinha/RS, Ijuí/RS, Imbé/RS, Independência/RS, Inhacorá/RS, Ipiranga do Sul/RS, Itaara/RS, Itacurubi/RS, Itaqui/RS, Itati/RS, Ivorá/RS, Jaboticaba/RS, Jacuizinho/RS, Jacutinga/RS, Jaguarão/RS, Jaguari/RS, Jaquirana/RS, Jari/RS, Jóia/RS, Júlio de Castilhos/RS, Lagoa Bonita do Sul/RS, Lagoa dos Três Cantos/RS, Lajeado do Bugre/RS, Lavras do Sul/RS, Liberato Salzano/RS, Lindolfo Collor/RS, Linha Nova/RS, Maçambará/RS, Mampituba/RS, Manoel Viana/RS, Maquiné/RS, Maratá/RS, Mariana Pimentel/RS, Mata/RS, Mato Queimado/RS, Minas do Leão/RS, Miraguaí/RS, Montauri/RS, Monte Alegre dos Campos/RS, Monte Belo do Sul/RS, Montenegro/RS, Mormaço/RS, Morrinhos do Sul/RS, Morro Redondo/RS, Morro Reuter/RS, Mostardas/RS, Muitos Capões/RS, Nicolau Vergueiro/RS, Nonoai/RS, Nova Alvorada/RS, Nova Boa Vista/RS, Nova Candelária/RS, Nova Esperança do Sul/RS, Nova Hartz/RS, Nova Pádua/RS, Nova Palma/RS, Nova Petrópolis/RS, Nova Ramada/RS, Nova Santa Rita/RS, Novo Machado/RS, Novo Tiradentes/RS, Novo Xingu/RS, Osório/RS, Palmares do Sul/RS, Palmitinho/RS, Panambi/RS, Pareci Novo/RS, Parobé/RS, Passa Sete/RS, Paulo Bento/RS, Pedras Altas/RS, Pedro Osório/RS, Pejuçara/RS, Picada Café/RS, Pinhal da Serra/RS, Pinhal Grande/RS, Pinhal/RS, Pinheirinho do Vale/RS, Pinheiro Machado/RS, Pinto Bandeira/RS, Pirapó/RS, Piratini/RS, Planalto/RS, Ponte Preta/RS, Portão/RS, Porto Alegre/RS, Porto Lucena/RS, Porto Mauá/RS, Porto Vera Cruz/RS, Porto Xavier/RS, Presidente Lucena/RS, Quaraí/RS, Quatro Irmãos/RS, Quevedos/RS, Quinze de Novembro/RS, Redentora/RS, Restinga Sêca/RS, Rio dos Índios/RS, Rio Grande/RS, Riozinho/RS, Roca Sales/RS, Rodeio Bonito/RS, Rolador/RS, Rolante/RS, Rondinha/RS, Roque Gonzales/RS, Rosário do Sul/RS, Sagrada Família/RS, Saldanha Marinho/RS, Salto do Jacuí/RS, Salvador das Missões/RS, Salvador do Sul/RS, Santa Cecília do Sul/RS, Santa Margarida do Sul/RS, Santa Maria do Herval/RS, Santa Rosa/RS, Santa Tereza/RS, Santa Vitória do Palmar/RS, Santana da Boa Vista/RS, Sant'Ana do Livramento/RS, Santiago/RS, Santo Ângelo/RS, Santo Antônio da Patrulha/RS, Santo Antônio das Missões/RS, Santo Antônio do Planalto/RS, Santo Augusto/RS, Santo Cristo/RS, Santo Expedito do Sul/RS, São Borja/RS, São Francisco de Assis/RS, São Francisco de Paula/RS, São Gabriel/RS, São Jerônimo/RS, São João da Urtiga/RS, São João do Polêsine/RS, São José das Missões/RS, São José do Hortêncio/RS, São José do Inhacorá/RS, São José do Norte/RS, São José do Sul/RS, São José dos Ausentes/RS, São Lourenço do Sul/RS, São Luiz Gonzaga/RS, São Martinho da Serra/RS, São Martinho/RS, São Miguel das Missões/RS, São Nicolau/RS, São Paulo das Missões/RS, São Pedro da Serra/RS, São Pedro das Missões/RS, São Pedro do Butiá/RS, São Pedro do Sul/RS, São Sebastião do Caí/RS, São Sepé/RS, São Valentim do Sul/RS, São Valério do Sul/RS, São Vendelino/RS, São Vicente do Sul/RS, Seberi/RS, Sede Nova/RS, Senador Salgado Filho/RS, Sentinela do Sul/RS, Sertão Santana/RS, Sete de Setembro/RS, Silveira Martins/RS, Tapes/RS, Taquara/RS, Taquaruçu do Sul/RS, Tavares/RS, Tenente Portela/RS, Terra de Areia/RS, Tiradentes do Sul/RS, Toropi/RS, Torres/RS, Tramandaí/RS, Três Arroios/RS, Três Cachoeiras/RS, Três Coroas/RS, Três de Maio/RS, Três Forquilhas/RS, Três Passos/RS, Trindade do Sul/RS, </t>
    </r>
    <r>
      <rPr>
        <b/>
        <sz val="11"/>
        <color indexed="64"/>
        <rFont val="Calibri"/>
        <family val="2"/>
        <scheme val="minor"/>
      </rPr>
      <t>Triunfo/RS</t>
    </r>
    <r>
      <rPr>
        <sz val="11"/>
        <color indexed="64"/>
        <rFont val="Calibri"/>
        <family val="2"/>
        <scheme val="minor"/>
      </rPr>
      <t xml:space="preserve">, Tucunduva/RS, Tunas/RS, Tupanci do Sul/RS, Tupanciretã/RS, Tupandi/RS, Tuparendi/RS, Turuçu/RS, Ubiretama/RS, União da Serra/RS, Unistalda/RS, Uruguaiana/RS, Vale Real/RS, Viamão/RS, Vicente Dutra/RS, Vila Flores/RS, Vila Lângaro/RS, Vila Nova do Sul/RS, Vista Alegre do Prata/RS, Vista Gaúcha/RS, Vitória das Missões/RS e Xangri-lá/RS. </t>
    </r>
    <r>
      <rPr>
        <b/>
        <sz val="11"/>
        <color indexed="64"/>
        <rFont val="Calibri"/>
        <family val="2"/>
        <scheme val="minor"/>
      </rPr>
      <t>SINDASSEIO RS</t>
    </r>
    <r>
      <rPr>
        <sz val="11"/>
        <color indexed="64"/>
        <rFont val="Calibri"/>
        <family val="2"/>
        <scheme val="minor"/>
      </rPr>
      <t xml:space="preserve"> - RS000040/2025 - </t>
    </r>
    <r>
      <rPr>
        <b/>
        <sz val="11"/>
        <color indexed="64"/>
        <rFont val="Calibri"/>
        <family val="2"/>
        <scheme val="minor"/>
      </rPr>
      <t>CBO 5141</t>
    </r>
  </si>
  <si>
    <t>Planilha de Composição de Custos ( Motorista carro leve)</t>
  </si>
  <si>
    <t xml:space="preserve">Profissionais da CCT considerada:  CBO 7823-05 - Motorista de Carro Leve - SINECARGA/RS </t>
  </si>
  <si>
    <t>Motorista de carro leve</t>
  </si>
  <si>
    <t>8h diarias</t>
  </si>
  <si>
    <t>média google</t>
  </si>
  <si>
    <t>Obs: CCT vigente até 04/2026. Encargos socias com referência nos dados da SINAPI/RS.</t>
  </si>
  <si>
    <t>PLANILHA DE CUSTO</t>
  </si>
  <si>
    <t>ITEM 01</t>
  </si>
  <si>
    <t>ITEM</t>
  </si>
  <si>
    <t>DISCRIMINAÇÃO</t>
  </si>
  <si>
    <t xml:space="preserve"> VALOR MENSAL </t>
  </si>
  <si>
    <t>MEMÓRIA DE CÁLCULO</t>
  </si>
  <si>
    <t>VEÍCULO DE USO COMUM</t>
  </si>
  <si>
    <t>CUSTOS FIXOS</t>
  </si>
  <si>
    <t>DEPRECIAÇÃO</t>
  </si>
  <si>
    <t>TX Depreciação</t>
  </si>
  <si>
    <t>LICENCIAMENTO e IPVA</t>
  </si>
  <si>
    <t>TX IPVA</t>
  </si>
  <si>
    <t>SEGURO OBRIGATÓRIO</t>
  </si>
  <si>
    <t>Licenciamento</t>
  </si>
  <si>
    <r>
      <t>SEGURO TOTAL</t>
    </r>
    <r>
      <rPr>
        <sz val="8"/>
        <color theme="1"/>
        <rFont val="Times New Roman"/>
        <family val="1"/>
      </rPr>
      <t xml:space="preserve"> (VEICULO, TERCEIROS E PASSAGEIROS)</t>
    </r>
  </si>
  <si>
    <t>Seguro Total</t>
  </si>
  <si>
    <t>OUTROS</t>
  </si>
  <si>
    <t>Seguro Obrigatório</t>
  </si>
  <si>
    <t>km total</t>
  </si>
  <si>
    <t>6=1+2+3+4+5</t>
  </si>
  <si>
    <t>SUBTOTAL (CUSTOS FIXOS)</t>
  </si>
  <si>
    <t>Outros</t>
  </si>
  <si>
    <t>km mês</t>
  </si>
  <si>
    <r>
      <t xml:space="preserve">CUSTOS VARIÁVEIS </t>
    </r>
    <r>
      <rPr>
        <sz val="7"/>
        <color theme="1"/>
        <rFont val="Times New Roman"/>
        <family val="1"/>
      </rPr>
      <t>(km mensal considerado =  11.667 km/mês)</t>
    </r>
  </si>
  <si>
    <t>MANUTENÇÃO (peças, lubrificantes, mão de obra, etc.).</t>
  </si>
  <si>
    <t>Manutenção</t>
  </si>
  <si>
    <t>km por carro (5)</t>
  </si>
  <si>
    <t>PNEUS / CÂMARA e Alinhamento/balanceamento</t>
  </si>
  <si>
    <t>Pneu</t>
  </si>
  <si>
    <t xml:space="preserve">COMBUSTÍVEL </t>
  </si>
  <si>
    <t>consumo p/km</t>
  </si>
  <si>
    <t>Preço Médio</t>
  </si>
  <si>
    <t>LAVAGEM</t>
  </si>
  <si>
    <t>OUTROS (Imantado)</t>
  </si>
  <si>
    <t>Lavagem</t>
  </si>
  <si>
    <t>12=7+8+9+10+11</t>
  </si>
  <si>
    <t>SUBTOTAL (CUSTOS VARIÁVEIS)</t>
  </si>
  <si>
    <t>Tx Desp.Operac.</t>
  </si>
  <si>
    <t>13=6+12</t>
  </si>
  <si>
    <t>CUSTO TOTAL DO VEÍCULO</t>
  </si>
  <si>
    <t>BDI</t>
  </si>
  <si>
    <t>Desp.Operacional</t>
  </si>
  <si>
    <t>Custo Veículo</t>
  </si>
  <si>
    <t>Valor BDI</t>
  </si>
  <si>
    <t>Veículo para transporte dos animais com motorista</t>
  </si>
  <si>
    <t>calculado com referencia no salario minino</t>
  </si>
  <si>
    <t>Salário base</t>
  </si>
  <si>
    <t>http://www.simvetrs.org.br/</t>
  </si>
  <si>
    <t>Insalubridade</t>
  </si>
  <si>
    <t>https://casacivil.rs.gov.br/sancionado-reajuste-de-8-do-piso-regional-de-2025</t>
  </si>
  <si>
    <t>EPIs</t>
  </si>
  <si>
    <t>https://www.gov.br/trabalho-e-emprego/pt-br/acesso-a-informacao/participacao-social/conselhos-e-orgaos-colegiados/comissao-tripartite-partitaria-permanente/arquivos/normas-regulamentadoras/nr-06-atualizada-2022-1.pdf</t>
  </si>
  <si>
    <t>simvetrs</t>
  </si>
  <si>
    <t>exposição biológica e quimica</t>
  </si>
  <si>
    <t>Macacão de proteção descartável</t>
  </si>
  <si>
    <t>Luvas descartável de látex para procedimentos não cirurgicos</t>
  </si>
  <si>
    <t>caixa</t>
  </si>
  <si>
    <t>Botas de PVC</t>
  </si>
  <si>
    <t>Profissionais da CCT considerada: Classe profissional não contém convenção trabalhista, dados sobre o salário baseados no sindicato dos Médicos Veterinários - SIMVETRS</t>
  </si>
  <si>
    <t>Obs: SIMVET RS, SINAPI, NR 06</t>
  </si>
  <si>
    <t>https://www.caixa.gov.br/Downloads/sinapi-metodologia/Livro_SINAPI_Calculos_Parametros.pdf</t>
  </si>
  <si>
    <t xml:space="preserve">SIMVET RS </t>
  </si>
  <si>
    <t xml:space="preserve">6 HORAS </t>
  </si>
  <si>
    <t>Veterinário e Responsável técnico</t>
  </si>
  <si>
    <t>km rodados/ANO</t>
  </si>
  <si>
    <t>KM rodados/ Mês</t>
  </si>
  <si>
    <t>Equipamentos</t>
  </si>
  <si>
    <t>Veículo</t>
  </si>
  <si>
    <t>https://veiculos.fipe.org.br/</t>
  </si>
  <si>
    <t>Planilha de Composição de Custos ( Auxiliar)</t>
  </si>
  <si>
    <t>Piso Regional faixa 2</t>
  </si>
  <si>
    <t>Auxiliar</t>
  </si>
  <si>
    <t>casa civil salario regional faixa 2</t>
  </si>
  <si>
    <t>Obs:</t>
  </si>
  <si>
    <t>Auxiliar e Tratadores</t>
  </si>
  <si>
    <t>https://www3.mte.gov.br/sistemas/mediador/Resumo/ResumoVisualizar</t>
  </si>
  <si>
    <t xml:space="preserve">VALOR MÉDIO BASEADO NA FIPE DE VEÍCULO TIPO  
Fiorino Furg.1.5/1.3/1.3 Fire/1.3 F.Flex, ano 2013, FAZENDO UMA MÉDIA DE 11,8 KM/L, LEVANDO AINDA EM CONSIDERAÇÃO A ESTIMATIVA DE  10 CAPTURAS/MÊS, MAIS 5 TRANSPORTE E ANIMAIS ADOTADOS OU EUTANASIADO/MÊS, CONFORME ETP,  O TOTAL ESTIMADO DO PERCUSO  DE 8.400 KM/ANO, PODENDO ESSES DADOS SOFREREM ALTERAÇÕES, TANTO PARA MAIS QUANTO PARA MENOS, CONFORME O VEÍCULO/ANO UTILIZADO E PERCURSO/ANO REALIZADO.   </t>
  </si>
  <si>
    <t>Custo com equipamento diversos</t>
  </si>
  <si>
    <t>Quant.</t>
  </si>
  <si>
    <t>Descrição</t>
  </si>
  <si>
    <t>cotação</t>
  </si>
  <si>
    <t>Valor Residual</t>
  </si>
  <si>
    <t>Valor a depreciar por ano</t>
  </si>
  <si>
    <t>Unidade de refrigeração exclusiva de vacinas, antígenos, medicamentos de uso veterinário e outros materiais biológicos.</t>
  </si>
  <si>
    <t>https://www.normaslegais.com.br/legislacao/anexoIII-in-rfb-1700-2017.htm</t>
  </si>
  <si>
    <t>https://www.gov.br/dnit/pt-br/central-de-conteudos/atos-normativos/tipo/instrucao-normativa/2022/in-5-2022-cglog-anexo.pdf</t>
  </si>
  <si>
    <t>Valor a depreciar mês</t>
  </si>
  <si>
    <t>Vida útil (anos)</t>
  </si>
  <si>
    <t>Mesa impermeável para atendimento.</t>
  </si>
  <si>
    <t>Valor residual %</t>
  </si>
  <si>
    <t>Pia de higienização</t>
  </si>
  <si>
    <t>Armário próprio para equipamentos e medicamentos</t>
  </si>
  <si>
    <t>Balança para pesagem dos animais</t>
  </si>
  <si>
    <t>total/mês</t>
  </si>
  <si>
    <t>Alimentos para animais</t>
  </si>
  <si>
    <t>Ano</t>
  </si>
  <si>
    <t>Média dos últimos 3 anos</t>
  </si>
  <si>
    <t>Materiais e medicamentos para uso veterinário</t>
  </si>
  <si>
    <t>Valor empenhado</t>
  </si>
  <si>
    <t>Material laboratorial</t>
  </si>
  <si>
    <t>Material farmacológico</t>
  </si>
  <si>
    <t xml:space="preserve">Total média anual </t>
  </si>
  <si>
    <t>média mensal</t>
  </si>
  <si>
    <t>Estimativa de gastos com alimentos, medicamentos e materiais de uso veterinário</t>
  </si>
  <si>
    <t>I -TIPO DE SERVIÇO</t>
  </si>
  <si>
    <t>Mão de obra</t>
  </si>
  <si>
    <t>EPI's</t>
  </si>
  <si>
    <t>Responsável Técnico ( 6H SEMANAIS)</t>
  </si>
  <si>
    <t>Auxiliar (44 H SEMANAIS)</t>
  </si>
  <si>
    <t>Motorista (44 H SEMANAIS)</t>
  </si>
  <si>
    <t>III - ENCARGOS SOCIAIS INCIDENTES SOBRE A REMUNERAÇÃO</t>
  </si>
  <si>
    <t>GRUPO A</t>
  </si>
  <si>
    <t>A-01-INSS- Artigo 2 inciso I Lei 8.212/91</t>
  </si>
  <si>
    <t>A-02-FGTS- Art 15 Lei 8.030/90 e Art. 7° Inciso III CF/88</t>
  </si>
  <si>
    <t>A-03-SESI/SESC- Artigo 3° Lei 8.036/90</t>
  </si>
  <si>
    <t>A-04-SENAI/SENAC- Decreto 2.318/86</t>
  </si>
  <si>
    <t>A-05-INCRA- Lei 7.787 de 30/06/89 e DL 1146/70</t>
  </si>
  <si>
    <t>A-06-SEBRAE- Artigo 8° Lei 8.154 de 28/12/90</t>
  </si>
  <si>
    <t>A-07-Salário Educação Artigo 3° Inciso I Decreto 87.043/82</t>
  </si>
  <si>
    <t>A-08-Riscos Ambientais do Trabalho-RAT(cod. 8121-4/00) x FAP(1,750)
-Art.3° do Decreto n° 6.957/2009</t>
  </si>
  <si>
    <t>TOTAL GRUPO A</t>
  </si>
  <si>
    <t>TOTAL GRUPO B</t>
  </si>
  <si>
    <t>TOTAL GRUPO C</t>
  </si>
  <si>
    <t>TOTAL GRUPO D</t>
  </si>
  <si>
    <t>TOTAL DE ENCARGOS SOCIAIS</t>
  </si>
  <si>
    <t>IV - INSUMOS</t>
  </si>
  <si>
    <t xml:space="preserve">GRUPO B </t>
  </si>
  <si>
    <t>B1 Repouso semanal remunerado</t>
  </si>
  <si>
    <t>B2 Feriados</t>
  </si>
  <si>
    <t>B3 Auxílio - enfermidade</t>
  </si>
  <si>
    <t>B4 13º salário</t>
  </si>
  <si>
    <t>B5 Licença paternidade</t>
  </si>
  <si>
    <t>B6 Faltas justificadas</t>
  </si>
  <si>
    <t>B7 Dias de chuvaS</t>
  </si>
  <si>
    <t>B8 Auxílio Acidente de trabalho</t>
  </si>
  <si>
    <t>B9 Férias Gozadas</t>
  </si>
  <si>
    <t>B10 Salário Maternidade</t>
  </si>
  <si>
    <t xml:space="preserve">GRUPO C </t>
  </si>
  <si>
    <t>C1-Aviso Prévio Indenizado</t>
  </si>
  <si>
    <t>C2 Aviso Prévio Trabalhado</t>
  </si>
  <si>
    <t>C3 Férias Indenizadas</t>
  </si>
  <si>
    <t>C4 Depósito Rescisão Sem Justa Custa</t>
  </si>
  <si>
    <t>C5 Indenização Adicional</t>
  </si>
  <si>
    <t xml:space="preserve">GRUPO D </t>
  </si>
  <si>
    <t>D1 Reincidência de Grupo A sobre Grupo B</t>
  </si>
  <si>
    <t>D2 Reincidência de Grupo A sobre Aviso Prévio Trabalhado e Reincidência do FGTS sobre Aviso Prévio IndenizDO.</t>
  </si>
  <si>
    <t>TOTAL REMUNERAÇÃO DE TODOS OS PROFISSIONAIS+ ENCARGOS SOCIAIS</t>
  </si>
  <si>
    <t>Alimentos, Medicamentos e Materiais Laboratoriais e Farmacológicos</t>
  </si>
  <si>
    <t>Produtos de Limpeza</t>
  </si>
  <si>
    <t>V - VEÍCULO</t>
  </si>
  <si>
    <t>Depreciação</t>
  </si>
  <si>
    <t>Licenciamento + IPVA</t>
  </si>
  <si>
    <t>Seguro obrigatório</t>
  </si>
  <si>
    <t>Seguro Total (Veículo, terceiros e passageiros)</t>
  </si>
  <si>
    <t>Manutenção ( peças, lubrificantes, mão de obra, etc.)</t>
  </si>
  <si>
    <t>Pneus / câmara  e Alinhamento/ balanceamento</t>
  </si>
  <si>
    <t>Combustível</t>
  </si>
  <si>
    <t>Equipe de profissionais</t>
  </si>
  <si>
    <t>ÁGUA SANITÁRIA, EMBALAGEM DE 05 LITROS</t>
  </si>
  <si>
    <t>ÁLCOOL ETÍLICO HIDRATADO, 70%. FRASCO 1 LITRO</t>
  </si>
  <si>
    <t>ÁLCOOL ETÍLICO HIDRATADO, 92,8° INPM. FRASCO 1 LITRO</t>
  </si>
  <si>
    <t>ÁLCOOL GEL ANTISSÉPTICO. COMPOSIÇÃO: ÁLCOOL ETÍLICO 70%. FRASCO COM BICO DOSADOR TIPO PUMP. EMBALAGEM 500ML</t>
  </si>
  <si>
    <t>DESINFETANTE CONCENTRADO, EMBALAGEM 05 LITROS</t>
  </si>
  <si>
    <t>DESINFETANTE HOSPITALAR COM QUATERNÁRIO DE AMÔNIA, FRASCO DE 5 LITROS</t>
  </si>
  <si>
    <t>DETERGENTE LÍQUIDO, NEUTRO, CONCENTRADO, EMBALAGEM 500ML</t>
  </si>
  <si>
    <t>ESPONJA DUPLA FACE (LADO VERDE: ÁSPERA PARA LIMPEZA PESADA. LADO AMARELO: MACIA), AÇÃO BACTERICIDA E GERMICIDA. DIMENSÕES APROXIMADAS: 110MM X 75MM X 20MM.</t>
  </si>
  <si>
    <t>ESPONJA DE LÃ DE AÇO. EMBALAGEM COM 08 UNIDADES</t>
  </si>
  <si>
    <t>ESFREGÃO DE AÇO. PACOTE TRANSPARENTE PLÁSTICO COM 02 UNIDADES</t>
  </si>
  <si>
    <t>FLANELA 100% ALGODÃO. </t>
  </si>
  <si>
    <t>HIPOCLORITO CONCENTRADO LÍQUIDO: BOMBONA DE 5 LITROS</t>
  </si>
  <si>
    <t>PAPEL HIGIÊNICO BRANCO, NEUTRO, FOLHA DUPLA, 100% CELULOSE VIRGEM, GOFRADO E FIRME, PICOTADO. PACOTE COM 04 ROLOS</t>
  </si>
  <si>
    <t>PAPEL TOALHA INTERFOLHADO, BRANCO, 02 DOBRAS, 100% CELULOSE VIRGEM. MEDIDAS APROXIMADAS: 20 CM X 21 CM. PACOTE COM 1.000 FOLHAS</t>
  </si>
  <si>
    <t>SABÃO AZUL, BARRA 200GR</t>
  </si>
  <si>
    <t>SABÃO GLICERINADO NEUTRO, BARRA 400GR</t>
  </si>
  <si>
    <t>SABÃO EM PÓ, PACOTE 01KG</t>
  </si>
  <si>
    <t>SAPONÁCEO CREMOSO. EMBALAGEM PLÁSTICA DE APROXIMADAMENTE 300GR.</t>
  </si>
  <si>
    <t>ITENS DE LIMPEZA</t>
  </si>
  <si>
    <t>SACO DE LIXO 50 LTS NA COR PRETA C/ 10 UNID</t>
  </si>
  <si>
    <t>Quantidade estimada/mês</t>
  </si>
  <si>
    <t>Valor edital 125/2025</t>
  </si>
  <si>
    <t>Valor edital 46/2025</t>
  </si>
  <si>
    <t>Valor edital PE 10/2025</t>
  </si>
  <si>
    <t>Valor edital 31/2025</t>
  </si>
  <si>
    <t>Valor unitário médio</t>
  </si>
  <si>
    <t>Total</t>
  </si>
  <si>
    <t>Motorista</t>
  </si>
  <si>
    <t>https://sinecarga.org.br/wp/wp-content/uploads/2025/05/ACT-2025-registrada.pdf</t>
  </si>
  <si>
    <t>https://www.gov.br/inss/pt-br/acesso-a-informacao/licitacoes-e-contratos/licitacoes-superintendencia-regional-norte-centro-oeste-regioes-norte-e-centro-oeste-do-pais/copy2_of_5.Anexo_IV_do_Edital___Planilha_de_Composicao_do_BDI.pdf</t>
  </si>
  <si>
    <t xml:space="preserve">(1) A  planilha de composição de custos e formação de preços é meramente estimativa, cabendo ao licitante preenchê-la e apresentá-la, em conformidade com a sua realidade e com o previsto para atendimento desta contratação. </t>
  </si>
  <si>
    <t>Produtos de limpeza</t>
  </si>
  <si>
    <t>https://pncp.gov.br/app/editais?pagina=2&amp;q=ra%C3%A7%C3%A3o&amp;status=todos&amp;ufs=RS</t>
  </si>
  <si>
    <t xml:space="preserve">(4) O cálculo da composição do BDI foi elaborado conforme o Anexo IV – Planilha de Composição do BDI, disponibilizado no site gov.br. Ressalta-se que os percentuais das alíquotas de ISS, PIS e COFINS podem variar de acordo com a categoria profissional do licitante, bem como que os percentuais relativos às demais despesas e à margem de lucro devem ser estimados conforme a necessidade e a realidade de cada licitante.
</t>
  </si>
  <si>
    <t>(5) Os custos com equipamentos foram calculados com base na média obtida por meio de pesquisas on-line. Os custos relacionados a alimentos, medicamentos e materiais laboratoriais e farmacológicos foram elaborados a partir da média de gastos realizados pelo Município nos últimos 03 (três) exercícios. Já os custos referentes a materiais de limpeza foram calculados com base em dados extraídos do Portal Nacional de Contratações Públicas, conforme os Editais nº 31/2025, 46/2025, 125/2025 e o Pregão Eletrônico nº 10/2025.</t>
  </si>
  <si>
    <t>(6) Para o cálculo do custo com veículo, foi considerado o modelo Fiat Fiorino Furgão 1.5/1.3/1.3 Fire/1.3 Flex, ano 2013.</t>
  </si>
  <si>
    <t>Média pesquisas on-lines</t>
  </si>
  <si>
    <t>Atualizada em</t>
  </si>
  <si>
    <t xml:space="preserve">Obs: </t>
  </si>
  <si>
    <t>Prestação integral dos serviços de captura, transporte, manejo, acolhimento, abrigo, cuidado, alimentação, higienização, atendimento veterinário, exposição para adoção e demais atividades correlatas aos animais sob responsabilidade do Canil Municipal.</t>
  </si>
  <si>
    <t>Renata Taís Guerreiro Vieira Fernandes</t>
  </si>
  <si>
    <t>Contadora - CRC/RS - 097446/O-5</t>
  </si>
  <si>
    <t>(3) Calculo dos Encargos Sociais foram baseados na tabela da SINAPI - RS e já estão inclusos no valor da Mão de obra.</t>
  </si>
  <si>
    <t>Custo Mensal (96h/mês)</t>
  </si>
  <si>
    <t>4h DIÁRIAS</t>
  </si>
  <si>
    <t>Total para 2 profissionais</t>
  </si>
  <si>
    <t>Veterinário Clínico (24 H SEMANAIS)</t>
  </si>
  <si>
    <t>(2)Os valores de mão de obra foram baseados  no Sindicato dos Veterinários - SIMVETRS; na convenção coletiva da SINECARGA/RS  2025-2026 e para os cargos que não possuem convenção coletiva específica, foi utilizado o salário do piso regional - faixa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</si>
</sst>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&quot;R$ &quot;* #,##0.00_);_(&quot;R$ &quot;* \(#,##0.00\);_(&quot;R$ &quot;* &quot;-&quot;??_);_(@_)"/>
    <numFmt numFmtId="167" formatCode="_(* #,##0.00_);_(* \(#,##0.00\);_(* \-??_);_(@_)"/>
    <numFmt numFmtId="168" formatCode="&quot;R$ &quot;#,##0.00"/>
    <numFmt numFmtId="169" formatCode="&quot;R$ &quot;#,##0.00_);\(&quot;R$ &quot;#,##0.00\)"/>
    <numFmt numFmtId="170" formatCode="#,##0.00_ ;\-#,##0.00\ "/>
  </numFmts>
  <fonts count="2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10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1"/>
      <color indexed="64"/>
      <name val="Calibri"/>
      <family val="2"/>
      <scheme val="minor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u/>
      <sz val="10"/>
      <color theme="10"/>
      <name val="Arial"/>
    </font>
    <font>
      <b/>
      <sz val="14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167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474">
    <xf numFmtId="0" fontId="0" fillId="0" borderId="0" xfId="0"/>
    <xf numFmtId="0" fontId="0" fillId="0" borderId="0" xfId="0" applyAlignment="1"/>
    <xf numFmtId="0" fontId="4" fillId="0" borderId="0" xfId="0" applyFont="1"/>
    <xf numFmtId="166" fontId="4" fillId="0" borderId="9" xfId="1" applyFont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4" fillId="0" borderId="9" xfId="1" applyFont="1" applyBorder="1" applyAlignment="1">
      <alignment horizontal="center" vertical="center"/>
    </xf>
    <xf numFmtId="166" fontId="2" fillId="3" borderId="9" xfId="1" applyFont="1" applyFill="1" applyBorder="1" applyAlignment="1">
      <alignment horizontal="center" vertical="center"/>
    </xf>
    <xf numFmtId="166" fontId="2" fillId="3" borderId="9" xfId="1" applyFont="1" applyFill="1" applyBorder="1" applyAlignment="1">
      <alignment horizontal="left" vertical="center"/>
    </xf>
    <xf numFmtId="166" fontId="6" fillId="0" borderId="15" xfId="0" applyNumberFormat="1" applyFont="1" applyBorder="1" applyAlignment="1">
      <alignment vertical="center"/>
    </xf>
    <xf numFmtId="0" fontId="0" fillId="0" borderId="9" xfId="0" applyBorder="1"/>
    <xf numFmtId="0" fontId="0" fillId="0" borderId="8" xfId="0" applyBorder="1"/>
    <xf numFmtId="165" fontId="0" fillId="0" borderId="0" xfId="0" applyNumberFormat="1"/>
    <xf numFmtId="0" fontId="0" fillId="0" borderId="0" xfId="0" applyFill="1"/>
    <xf numFmtId="0" fontId="11" fillId="0" borderId="0" xfId="3" applyAlignment="1">
      <alignment vertical="center"/>
    </xf>
    <xf numFmtId="4" fontId="11" fillId="0" borderId="0" xfId="3" applyNumberFormat="1" applyAlignment="1">
      <alignment vertical="center"/>
    </xf>
    <xf numFmtId="167" fontId="0" fillId="0" borderId="0" xfId="4" applyFont="1" applyAlignment="1">
      <alignment vertical="center"/>
    </xf>
    <xf numFmtId="0" fontId="7" fillId="0" borderId="0" xfId="3" applyFont="1" applyAlignment="1">
      <alignment vertical="center"/>
    </xf>
    <xf numFmtId="167" fontId="0" fillId="0" borderId="0" xfId="4" applyFont="1" applyFill="1" applyAlignment="1">
      <alignment vertical="center"/>
    </xf>
    <xf numFmtId="167" fontId="6" fillId="0" borderId="0" xfId="4" applyFont="1" applyAlignment="1">
      <alignment vertical="center"/>
    </xf>
    <xf numFmtId="14" fontId="1" fillId="0" borderId="0" xfId="4" applyNumberFormat="1" applyFont="1" applyAlignment="1">
      <alignment vertical="center"/>
    </xf>
    <xf numFmtId="167" fontId="1" fillId="0" borderId="22" xfId="4" applyFont="1" applyBorder="1" applyAlignment="1">
      <alignment horizontal="center" vertical="center"/>
    </xf>
    <xf numFmtId="167" fontId="1" fillId="0" borderId="24" xfId="4" applyFont="1" applyBorder="1" applyAlignment="1">
      <alignment horizontal="center" vertical="center"/>
    </xf>
    <xf numFmtId="167" fontId="3" fillId="0" borderId="25" xfId="4" applyFont="1" applyBorder="1" applyAlignment="1">
      <alignment vertical="center"/>
    </xf>
    <xf numFmtId="10" fontId="0" fillId="0" borderId="28" xfId="5" applyNumberFormat="1" applyFont="1" applyBorder="1" applyAlignment="1">
      <alignment vertical="center"/>
    </xf>
    <xf numFmtId="167" fontId="10" fillId="0" borderId="16" xfId="4" applyFont="1" applyBorder="1" applyAlignment="1">
      <alignment vertical="center"/>
    </xf>
    <xf numFmtId="167" fontId="1" fillId="0" borderId="29" xfId="4" applyFont="1" applyBorder="1" applyAlignment="1">
      <alignment vertical="center"/>
    </xf>
    <xf numFmtId="10" fontId="1" fillId="0" borderId="32" xfId="5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167" fontId="3" fillId="0" borderId="0" xfId="4" applyFont="1" applyAlignment="1">
      <alignment vertical="center"/>
    </xf>
    <xf numFmtId="167" fontId="1" fillId="5" borderId="32" xfId="4" applyFont="1" applyFill="1" applyBorder="1" applyAlignment="1">
      <alignment vertical="center"/>
    </xf>
    <xf numFmtId="167" fontId="1" fillId="0" borderId="24" xfId="4" applyFont="1" applyBorder="1" applyAlignment="1">
      <alignment horizontal="right" vertical="center"/>
    </xf>
    <xf numFmtId="1" fontId="3" fillId="0" borderId="36" xfId="4" applyNumberFormat="1" applyFont="1" applyBorder="1" applyAlignment="1">
      <alignment horizontal="center" vertical="center"/>
    </xf>
    <xf numFmtId="167" fontId="3" fillId="0" borderId="0" xfId="4" applyFont="1" applyBorder="1" applyAlignment="1">
      <alignment vertical="center"/>
    </xf>
    <xf numFmtId="0" fontId="1" fillId="0" borderId="0" xfId="3" applyFont="1" applyAlignment="1">
      <alignment vertical="center"/>
    </xf>
    <xf numFmtId="0" fontId="2" fillId="6" borderId="37" xfId="3" applyFont="1" applyFill="1" applyBorder="1" applyAlignment="1">
      <alignment horizontal="center" vertical="center"/>
    </xf>
    <xf numFmtId="0" fontId="2" fillId="6" borderId="23" xfId="3" applyFont="1" applyFill="1" applyBorder="1" applyAlignment="1">
      <alignment horizontal="center" vertical="center"/>
    </xf>
    <xf numFmtId="167" fontId="2" fillId="6" borderId="24" xfId="4" applyFont="1" applyFill="1" applyBorder="1" applyAlignment="1">
      <alignment horizontal="center" vertical="center"/>
    </xf>
    <xf numFmtId="0" fontId="3" fillId="0" borderId="38" xfId="3" applyFont="1" applyBorder="1" applyAlignment="1">
      <alignment vertical="center"/>
    </xf>
    <xf numFmtId="0" fontId="3" fillId="0" borderId="9" xfId="3" applyFont="1" applyBorder="1" applyAlignment="1">
      <alignment horizontal="center" vertical="center"/>
    </xf>
    <xf numFmtId="167" fontId="3" fillId="0" borderId="39" xfId="4" applyFont="1" applyFill="1" applyBorder="1" applyAlignment="1">
      <alignment horizontal="center" vertical="center"/>
    </xf>
    <xf numFmtId="0" fontId="11" fillId="0" borderId="38" xfId="3" applyBorder="1" applyAlignment="1">
      <alignment vertical="center"/>
    </xf>
    <xf numFmtId="0" fontId="11" fillId="0" borderId="9" xfId="3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167" fontId="3" fillId="0" borderId="41" xfId="4" applyFont="1" applyFill="1" applyBorder="1" applyAlignment="1">
      <alignment horizontal="center" vertical="center"/>
    </xf>
    <xf numFmtId="167" fontId="1" fillId="6" borderId="36" xfId="4" applyFont="1" applyFill="1" applyBorder="1" applyAlignment="1">
      <alignment horizontal="center" vertical="center"/>
    </xf>
    <xf numFmtId="167" fontId="3" fillId="0" borderId="39" xfId="4" applyFont="1" applyBorder="1" applyAlignment="1">
      <alignment horizontal="center" vertical="center"/>
    </xf>
    <xf numFmtId="167" fontId="3" fillId="0" borderId="7" xfId="4" applyFont="1" applyBorder="1" applyAlignment="1">
      <alignment horizontal="center" vertical="center"/>
    </xf>
    <xf numFmtId="166" fontId="3" fillId="0" borderId="9" xfId="1" applyFont="1" applyBorder="1" applyAlignment="1">
      <alignment vertical="center"/>
    </xf>
    <xf numFmtId="9" fontId="0" fillId="0" borderId="9" xfId="2" applyFont="1" applyBorder="1"/>
    <xf numFmtId="167" fontId="1" fillId="6" borderId="36" xfId="4" applyFont="1" applyFill="1" applyBorder="1" applyAlignment="1">
      <alignment vertical="center"/>
    </xf>
    <xf numFmtId="166" fontId="3" fillId="0" borderId="0" xfId="1" applyFont="1" applyAlignment="1">
      <alignment vertical="center"/>
    </xf>
    <xf numFmtId="0" fontId="1" fillId="0" borderId="29" xfId="3" applyFont="1" applyBorder="1" applyAlignment="1">
      <alignment vertical="center"/>
    </xf>
    <xf numFmtId="0" fontId="1" fillId="0" borderId="33" xfId="3" applyFont="1" applyBorder="1" applyAlignment="1">
      <alignment vertical="center"/>
    </xf>
    <xf numFmtId="167" fontId="1" fillId="6" borderId="19" xfId="4" applyFont="1" applyFill="1" applyBorder="1" applyAlignment="1">
      <alignment vertical="center"/>
    </xf>
    <xf numFmtId="0" fontId="3" fillId="0" borderId="42" xfId="3" applyFont="1" applyBorder="1" applyAlignment="1">
      <alignment vertical="center"/>
    </xf>
    <xf numFmtId="0" fontId="3" fillId="0" borderId="43" xfId="3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167" fontId="12" fillId="0" borderId="0" xfId="4" applyFont="1" applyBorder="1" applyAlignment="1">
      <alignment vertical="center"/>
    </xf>
    <xf numFmtId="167" fontId="12" fillId="0" borderId="0" xfId="4" applyFont="1" applyAlignment="1">
      <alignment vertical="center"/>
    </xf>
    <xf numFmtId="167" fontId="1" fillId="0" borderId="0" xfId="4" applyFont="1" applyBorder="1" applyAlignment="1">
      <alignment vertical="center"/>
    </xf>
    <xf numFmtId="10" fontId="1" fillId="0" borderId="0" xfId="5" applyNumberFormat="1" applyFont="1" applyBorder="1" applyAlignment="1">
      <alignment vertical="center"/>
    </xf>
    <xf numFmtId="167" fontId="1" fillId="0" borderId="0" xfId="4" applyFont="1" applyAlignment="1">
      <alignment vertical="center"/>
    </xf>
    <xf numFmtId="167" fontId="13" fillId="0" borderId="0" xfId="4" applyFont="1" applyBorder="1" applyAlignment="1">
      <alignment vertical="center"/>
    </xf>
    <xf numFmtId="9" fontId="13" fillId="0" borderId="0" xfId="5" applyFont="1" applyBorder="1" applyAlignment="1">
      <alignment vertical="center"/>
    </xf>
    <xf numFmtId="167" fontId="13" fillId="0" borderId="0" xfId="4" applyFont="1" applyAlignment="1">
      <alignment vertical="center"/>
    </xf>
    <xf numFmtId="0" fontId="13" fillId="0" borderId="0" xfId="3" applyFont="1" applyAlignment="1">
      <alignment vertical="center"/>
    </xf>
    <xf numFmtId="167" fontId="3" fillId="0" borderId="9" xfId="4" applyFont="1" applyBorder="1" applyAlignment="1">
      <alignment vertical="center"/>
    </xf>
    <xf numFmtId="10" fontId="3" fillId="0" borderId="9" xfId="5" applyNumberFormat="1" applyFont="1" applyBorder="1" applyAlignment="1">
      <alignment vertical="center"/>
    </xf>
    <xf numFmtId="167" fontId="1" fillId="0" borderId="9" xfId="4" applyFont="1" applyBorder="1" applyAlignment="1">
      <alignment vertical="center"/>
    </xf>
    <xf numFmtId="10" fontId="1" fillId="0" borderId="9" xfId="5" applyNumberFormat="1" applyFont="1" applyBorder="1" applyAlignment="1">
      <alignment vertical="center"/>
    </xf>
    <xf numFmtId="10" fontId="13" fillId="0" borderId="0" xfId="5" applyNumberFormat="1" applyFont="1" applyBorder="1" applyAlignment="1">
      <alignment vertical="center"/>
    </xf>
    <xf numFmtId="167" fontId="0" fillId="0" borderId="0" xfId="4" applyFont="1" applyBorder="1" applyAlignment="1">
      <alignment vertical="center"/>
    </xf>
    <xf numFmtId="0" fontId="11" fillId="0" borderId="0" xfId="3"/>
    <xf numFmtId="0" fontId="1" fillId="0" borderId="0" xfId="3" applyFont="1" applyAlignment="1">
      <alignment horizontal="left" vertical="center"/>
    </xf>
    <xf numFmtId="0" fontId="3" fillId="0" borderId="37" xfId="3" applyFont="1" applyBorder="1" applyAlignment="1">
      <alignment horizontal="left" vertical="center"/>
    </xf>
    <xf numFmtId="0" fontId="3" fillId="0" borderId="23" xfId="3" applyFont="1" applyBorder="1" applyAlignment="1">
      <alignment horizontal="center" vertical="center"/>
    </xf>
    <xf numFmtId="10" fontId="3" fillId="0" borderId="24" xfId="3" applyNumberFormat="1" applyFont="1" applyBorder="1" applyAlignment="1">
      <alignment horizontal="center" vertical="center"/>
    </xf>
    <xf numFmtId="0" fontId="3" fillId="0" borderId="38" xfId="3" applyFont="1" applyBorder="1" applyAlignment="1">
      <alignment horizontal="left" vertical="center"/>
    </xf>
    <xf numFmtId="10" fontId="3" fillId="0" borderId="39" xfId="3" applyNumberFormat="1" applyFont="1" applyBorder="1" applyAlignment="1">
      <alignment horizontal="center" vertical="center"/>
    </xf>
    <xf numFmtId="167" fontId="4" fillId="0" borderId="0" xfId="4" applyFont="1" applyAlignment="1">
      <alignment vertical="center"/>
    </xf>
    <xf numFmtId="0" fontId="3" fillId="7" borderId="38" xfId="3" applyFont="1" applyFill="1" applyBorder="1" applyAlignment="1">
      <alignment horizontal="left" vertical="center"/>
    </xf>
    <xf numFmtId="0" fontId="3" fillId="0" borderId="9" xfId="3" applyFont="1" applyBorder="1" applyAlignment="1">
      <alignment horizontal="center" vertical="center"/>
    </xf>
    <xf numFmtId="0" fontId="3" fillId="0" borderId="42" xfId="3" applyFont="1" applyBorder="1" applyAlignment="1">
      <alignment horizontal="left" vertical="center"/>
    </xf>
    <xf numFmtId="0" fontId="3" fillId="0" borderId="43" xfId="3" applyFont="1" applyBorder="1" applyAlignment="1">
      <alignment horizontal="center" vertical="center"/>
    </xf>
    <xf numFmtId="10" fontId="3" fillId="0" borderId="36" xfId="3" applyNumberFormat="1" applyFont="1" applyBorder="1" applyAlignment="1">
      <alignment horizontal="center" vertical="center"/>
    </xf>
    <xf numFmtId="0" fontId="3" fillId="0" borderId="44" xfId="3" applyFont="1" applyBorder="1" applyAlignment="1">
      <alignment vertical="center"/>
    </xf>
    <xf numFmtId="0" fontId="3" fillId="0" borderId="45" xfId="3" applyFont="1" applyBorder="1" applyAlignment="1">
      <alignment vertical="center"/>
    </xf>
    <xf numFmtId="10" fontId="3" fillId="0" borderId="46" xfId="3" applyNumberFormat="1" applyFont="1" applyBorder="1" applyAlignment="1">
      <alignment vertical="center"/>
    </xf>
    <xf numFmtId="0" fontId="3" fillId="0" borderId="47" xfId="3" applyFont="1" applyBorder="1" applyAlignment="1">
      <alignment horizontal="left" vertical="center"/>
    </xf>
    <xf numFmtId="0" fontId="3" fillId="0" borderId="48" xfId="3" applyFont="1" applyBorder="1" applyAlignment="1">
      <alignment horizontal="left" vertical="center"/>
    </xf>
    <xf numFmtId="0" fontId="3" fillId="0" borderId="49" xfId="3" applyFont="1" applyBorder="1" applyAlignment="1">
      <alignment vertical="center"/>
    </xf>
    <xf numFmtId="0" fontId="1" fillId="0" borderId="29" xfId="3" applyFont="1" applyBorder="1" applyAlignment="1">
      <alignment vertical="center" wrapText="1"/>
    </xf>
    <xf numFmtId="0" fontId="3" fillId="0" borderId="33" xfId="3" applyFont="1" applyBorder="1" applyAlignment="1">
      <alignment vertical="center"/>
    </xf>
    <xf numFmtId="10" fontId="1" fillId="0" borderId="32" xfId="3" applyNumberFormat="1" applyFont="1" applyBorder="1" applyAlignment="1">
      <alignment horizontal="center" vertical="center" wrapText="1"/>
    </xf>
    <xf numFmtId="0" fontId="3" fillId="0" borderId="0" xfId="6" applyAlignment="1">
      <alignment vertical="center"/>
    </xf>
    <xf numFmtId="0" fontId="3" fillId="5" borderId="38" xfId="3" applyFont="1" applyFill="1" applyBorder="1" applyAlignment="1">
      <alignment vertical="center"/>
    </xf>
    <xf numFmtId="43" fontId="3" fillId="0" borderId="0" xfId="3" applyNumberFormat="1" applyFont="1" applyAlignment="1">
      <alignment vertical="center"/>
    </xf>
    <xf numFmtId="0" fontId="3" fillId="5" borderId="40" xfId="3" applyFont="1" applyFill="1" applyBorder="1" applyAlignment="1">
      <alignment vertical="center"/>
    </xf>
    <xf numFmtId="0" fontId="3" fillId="0" borderId="9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42" xfId="3" applyFont="1" applyBorder="1" applyAlignment="1">
      <alignment horizontal="left" vertical="center"/>
    </xf>
    <xf numFmtId="0" fontId="11" fillId="5" borderId="38" xfId="3" applyFill="1" applyBorder="1" applyAlignment="1">
      <alignment vertical="center"/>
    </xf>
    <xf numFmtId="1" fontId="3" fillId="0" borderId="36" xfId="4" applyNumberFormat="1" applyFont="1" applyBorder="1" applyAlignment="1">
      <alignment horizontal="right" vertical="center"/>
    </xf>
    <xf numFmtId="0" fontId="3" fillId="0" borderId="42" xfId="3" applyFont="1" applyBorder="1" applyAlignment="1">
      <alignment horizontal="left" vertical="center"/>
    </xf>
    <xf numFmtId="0" fontId="3" fillId="0" borderId="9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166" fontId="18" fillId="0" borderId="39" xfId="1" applyFont="1" applyBorder="1" applyAlignment="1">
      <alignment vertical="center"/>
    </xf>
    <xf numFmtId="0" fontId="19" fillId="8" borderId="38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166" fontId="19" fillId="0" borderId="39" xfId="1" applyFont="1" applyBorder="1" applyAlignment="1">
      <alignment vertical="center"/>
    </xf>
    <xf numFmtId="0" fontId="0" fillId="0" borderId="35" xfId="0" applyBorder="1"/>
    <xf numFmtId="10" fontId="0" fillId="0" borderId="24" xfId="0" applyNumberFormat="1" applyBorder="1"/>
    <xf numFmtId="10" fontId="0" fillId="0" borderId="39" xfId="0" applyNumberFormat="1" applyBorder="1"/>
    <xf numFmtId="4" fontId="0" fillId="0" borderId="39" xfId="0" applyNumberFormat="1" applyBorder="1"/>
    <xf numFmtId="0" fontId="0" fillId="0" borderId="3" xfId="0" applyBorder="1"/>
    <xf numFmtId="0" fontId="0" fillId="0" borderId="10" xfId="0" applyBorder="1"/>
    <xf numFmtId="3" fontId="0" fillId="0" borderId="37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166" fontId="19" fillId="9" borderId="39" xfId="1" applyFont="1" applyFill="1" applyBorder="1" applyAlignment="1">
      <alignment vertical="center"/>
    </xf>
    <xf numFmtId="3" fontId="0" fillId="0" borderId="3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0" fillId="0" borderId="36" xfId="0" applyNumberFormat="1" applyBorder="1" applyAlignment="1">
      <alignment horizontal="right"/>
    </xf>
    <xf numFmtId="0" fontId="0" fillId="0" borderId="18" xfId="0" applyBorder="1"/>
    <xf numFmtId="4" fontId="0" fillId="0" borderId="36" xfId="0" applyNumberFormat="1" applyBorder="1"/>
    <xf numFmtId="3" fontId="0" fillId="0" borderId="1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23" xfId="0" applyBorder="1"/>
    <xf numFmtId="0" fontId="0" fillId="0" borderId="24" xfId="0" applyBorder="1"/>
    <xf numFmtId="4" fontId="0" fillId="0" borderId="43" xfId="0" applyNumberFormat="1" applyBorder="1"/>
    <xf numFmtId="3" fontId="0" fillId="0" borderId="36" xfId="0" applyNumberFormat="1" applyBorder="1"/>
    <xf numFmtId="4" fontId="0" fillId="0" borderId="24" xfId="0" applyNumberFormat="1" applyBorder="1"/>
    <xf numFmtId="0" fontId="0" fillId="0" borderId="6" xfId="0" applyBorder="1"/>
    <xf numFmtId="170" fontId="19" fillId="4" borderId="39" xfId="1" applyNumberFormat="1" applyFont="1" applyFill="1" applyBorder="1" applyAlignment="1">
      <alignment vertical="center"/>
    </xf>
    <xf numFmtId="170" fontId="19" fillId="9" borderId="39" xfId="1" applyNumberFormat="1" applyFont="1" applyFill="1" applyBorder="1" applyAlignment="1">
      <alignment vertical="center"/>
    </xf>
    <xf numFmtId="0" fontId="0" fillId="0" borderId="13" xfId="0" applyBorder="1"/>
    <xf numFmtId="0" fontId="0" fillId="0" borderId="52" xfId="0" applyBorder="1"/>
    <xf numFmtId="0" fontId="16" fillId="0" borderId="50" xfId="0" applyFont="1" applyBorder="1"/>
    <xf numFmtId="0" fontId="16" fillId="0" borderId="0" xfId="0" applyFont="1" applyBorder="1"/>
    <xf numFmtId="166" fontId="16" fillId="0" borderId="51" xfId="1" applyFont="1" applyBorder="1"/>
    <xf numFmtId="0" fontId="0" fillId="0" borderId="11" xfId="0" applyBorder="1"/>
    <xf numFmtId="10" fontId="0" fillId="0" borderId="9" xfId="0" applyNumberFormat="1" applyBorder="1"/>
    <xf numFmtId="0" fontId="18" fillId="0" borderId="3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6" fontId="19" fillId="0" borderId="9" xfId="1" applyFont="1" applyBorder="1" applyAlignment="1">
      <alignment vertical="center"/>
    </xf>
    <xf numFmtId="0" fontId="18" fillId="0" borderId="42" xfId="0" applyFont="1" applyBorder="1" applyAlignment="1">
      <alignment horizontal="center" vertical="center"/>
    </xf>
    <xf numFmtId="166" fontId="19" fillId="0" borderId="43" xfId="1" applyFont="1" applyBorder="1" applyAlignment="1">
      <alignment vertical="center"/>
    </xf>
    <xf numFmtId="14" fontId="16" fillId="0" borderId="36" xfId="1" applyNumberFormat="1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66" fontId="19" fillId="0" borderId="0" xfId="1" applyFont="1" applyBorder="1" applyAlignment="1">
      <alignment vertical="center"/>
    </xf>
    <xf numFmtId="166" fontId="16" fillId="0" borderId="0" xfId="1" applyFont="1"/>
    <xf numFmtId="0" fontId="22" fillId="0" borderId="0" xfId="0" applyFont="1" applyAlignment="1">
      <alignment horizontal="center"/>
    </xf>
    <xf numFmtId="0" fontId="23" fillId="0" borderId="0" xfId="0" applyFont="1"/>
    <xf numFmtId="0" fontId="16" fillId="0" borderId="0" xfId="0" applyFont="1"/>
    <xf numFmtId="44" fontId="16" fillId="0" borderId="0" xfId="0" applyNumberFormat="1" applyFont="1"/>
    <xf numFmtId="9" fontId="16" fillId="0" borderId="0" xfId="0" applyNumberFormat="1" applyFont="1"/>
    <xf numFmtId="0" fontId="3" fillId="0" borderId="8" xfId="0" applyFont="1" applyBorder="1"/>
    <xf numFmtId="0" fontId="2" fillId="6" borderId="11" xfId="3" applyFont="1" applyFill="1" applyBorder="1" applyAlignment="1">
      <alignment horizontal="center" vertical="center"/>
    </xf>
    <xf numFmtId="167" fontId="2" fillId="6" borderId="4" xfId="4" applyFont="1" applyFill="1" applyBorder="1" applyAlignment="1">
      <alignment horizontal="center" vertical="center"/>
    </xf>
    <xf numFmtId="0" fontId="0" fillId="5" borderId="0" xfId="0" applyFill="1" applyAlignment="1">
      <alignment wrapText="1"/>
    </xf>
    <xf numFmtId="0" fontId="11" fillId="5" borderId="38" xfId="3" applyFill="1" applyBorder="1" applyAlignment="1">
      <alignment vertical="center" wrapText="1"/>
    </xf>
    <xf numFmtId="0" fontId="11" fillId="5" borderId="40" xfId="3" applyFill="1" applyBorder="1" applyAlignment="1">
      <alignment vertical="center"/>
    </xf>
    <xf numFmtId="0" fontId="2" fillId="0" borderId="11" xfId="3" applyFont="1" applyFill="1" applyBorder="1" applyAlignment="1">
      <alignment horizontal="center" vertical="center"/>
    </xf>
    <xf numFmtId="167" fontId="2" fillId="0" borderId="4" xfId="4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0" fillId="0" borderId="9" xfId="0" applyBorder="1" applyAlignment="1">
      <alignment wrapText="1"/>
    </xf>
    <xf numFmtId="166" fontId="0" fillId="0" borderId="9" xfId="1" applyFont="1" applyBorder="1"/>
    <xf numFmtId="49" fontId="0" fillId="0" borderId="9" xfId="1" applyNumberFormat="1" applyFont="1" applyBorder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1" fillId="10" borderId="9" xfId="0" applyFont="1" applyFill="1" applyBorder="1"/>
    <xf numFmtId="0" fontId="1" fillId="10" borderId="9" xfId="0" applyFont="1" applyFill="1" applyBorder="1" applyAlignment="1">
      <alignment wrapText="1"/>
    </xf>
    <xf numFmtId="166" fontId="1" fillId="10" borderId="9" xfId="0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42" xfId="3" applyFont="1" applyBorder="1" applyAlignment="1">
      <alignment horizontal="left" vertical="center"/>
    </xf>
    <xf numFmtId="0" fontId="0" fillId="10" borderId="9" xfId="0" applyFill="1" applyBorder="1"/>
    <xf numFmtId="166" fontId="2" fillId="3" borderId="8" xfId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4" borderId="8" xfId="0" applyFont="1" applyFill="1" applyBorder="1" applyAlignment="1">
      <alignment vertical="center"/>
    </xf>
    <xf numFmtId="14" fontId="4" fillId="0" borderId="0" xfId="0" applyNumberFormat="1" applyFont="1"/>
    <xf numFmtId="166" fontId="2" fillId="0" borderId="8" xfId="1" applyFont="1" applyFill="1" applyBorder="1" applyAlignment="1">
      <alignment horizontal="center" vertical="center"/>
    </xf>
    <xf numFmtId="166" fontId="2" fillId="0" borderId="8" xfId="1" applyFont="1" applyFill="1" applyBorder="1" applyAlignment="1"/>
    <xf numFmtId="166" fontId="2" fillId="14" borderId="8" xfId="1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9" xfId="3" applyFont="1" applyBorder="1" applyAlignment="1">
      <alignment vertical="center"/>
    </xf>
    <xf numFmtId="10" fontId="3" fillId="0" borderId="39" xfId="3" applyNumberFormat="1" applyFont="1" applyBorder="1" applyAlignment="1">
      <alignment vertical="center"/>
    </xf>
    <xf numFmtId="10" fontId="3" fillId="0" borderId="36" xfId="3" applyNumberFormat="1" applyFont="1" applyBorder="1" applyAlignment="1">
      <alignment vertical="center"/>
    </xf>
    <xf numFmtId="10" fontId="3" fillId="0" borderId="24" xfId="3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6" fontId="2" fillId="0" borderId="6" xfId="1" applyFont="1" applyFill="1" applyBorder="1" applyAlignment="1"/>
    <xf numFmtId="0" fontId="1" fillId="14" borderId="20" xfId="3" applyFont="1" applyFill="1" applyBorder="1" applyAlignment="1">
      <alignment vertical="center" wrapText="1"/>
    </xf>
    <xf numFmtId="0" fontId="3" fillId="14" borderId="55" xfId="3" applyFont="1" applyFill="1" applyBorder="1" applyAlignment="1">
      <alignment vertical="center"/>
    </xf>
    <xf numFmtId="10" fontId="1" fillId="14" borderId="21" xfId="3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/>
    <xf numFmtId="0" fontId="2" fillId="2" borderId="8" xfId="0" applyFont="1" applyFill="1" applyBorder="1" applyAlignment="1"/>
    <xf numFmtId="0" fontId="1" fillId="13" borderId="37" xfId="3" applyFont="1" applyFill="1" applyBorder="1" applyAlignment="1">
      <alignment horizontal="left" vertical="center"/>
    </xf>
    <xf numFmtId="0" fontId="3" fillId="13" borderId="23" xfId="3" applyFont="1" applyFill="1" applyBorder="1" applyAlignment="1">
      <alignment vertical="center"/>
    </xf>
    <xf numFmtId="0" fontId="3" fillId="13" borderId="24" xfId="3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8" fontId="11" fillId="0" borderId="26" xfId="3" applyNumberFormat="1" applyBorder="1" applyAlignment="1">
      <alignment horizontal="centerContinuous" vertical="center"/>
    </xf>
    <xf numFmtId="168" fontId="11" fillId="0" borderId="27" xfId="3" applyNumberFormat="1" applyBorder="1" applyAlignment="1">
      <alignment horizontal="centerContinuous" vertical="center"/>
    </xf>
    <xf numFmtId="169" fontId="1" fillId="0" borderId="30" xfId="3" applyNumberFormat="1" applyFont="1" applyBorder="1" applyAlignment="1">
      <alignment horizontal="centerContinuous" vertical="center"/>
    </xf>
    <xf numFmtId="169" fontId="1" fillId="0" borderId="31" xfId="3" applyNumberFormat="1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" wrapText="1"/>
    </xf>
    <xf numFmtId="0" fontId="24" fillId="0" borderId="39" xfId="7" applyBorder="1"/>
    <xf numFmtId="0" fontId="0" fillId="0" borderId="38" xfId="0" applyBorder="1"/>
    <xf numFmtId="0" fontId="0" fillId="0" borderId="39" xfId="0" applyBorder="1"/>
    <xf numFmtId="0" fontId="24" fillId="0" borderId="39" xfId="7" applyBorder="1" applyAlignment="1">
      <alignment wrapText="1"/>
    </xf>
    <xf numFmtId="0" fontId="3" fillId="0" borderId="39" xfId="0" applyFont="1" applyBorder="1"/>
    <xf numFmtId="0" fontId="3" fillId="0" borderId="38" xfId="0" applyFont="1" applyBorder="1" applyAlignment="1">
      <alignment horizontal="center" wrapText="1"/>
    </xf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4" fillId="0" borderId="8" xfId="0" applyFont="1" applyBorder="1" applyAlignment="1">
      <alignment horizontal="center" vertical="center"/>
    </xf>
    <xf numFmtId="166" fontId="4" fillId="0" borderId="8" xfId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0" fontId="4" fillId="0" borderId="39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2" fillId="3" borderId="39" xfId="0" applyNumberFormat="1" applyFont="1" applyFill="1" applyBorder="1" applyAlignment="1">
      <alignment horizontal="center" vertical="center"/>
    </xf>
    <xf numFmtId="10" fontId="2" fillId="0" borderId="39" xfId="0" applyNumberFormat="1" applyFont="1" applyBorder="1" applyAlignment="1">
      <alignment horizontal="center" vertical="center"/>
    </xf>
    <xf numFmtId="10" fontId="4" fillId="0" borderId="59" xfId="0" applyNumberFormat="1" applyFont="1" applyBorder="1" applyAlignment="1">
      <alignment horizontal="center" vertical="center"/>
    </xf>
    <xf numFmtId="10" fontId="2" fillId="3" borderId="36" xfId="0" applyNumberFormat="1" applyFont="1" applyFill="1" applyBorder="1" applyAlignment="1">
      <alignment horizontal="center" vertical="center"/>
    </xf>
    <xf numFmtId="166" fontId="2" fillId="3" borderId="8" xfId="1" applyFont="1" applyFill="1" applyBorder="1" applyAlignment="1">
      <alignment horizontal="center" vertical="center"/>
    </xf>
    <xf numFmtId="0" fontId="1" fillId="14" borderId="0" xfId="3" applyFont="1" applyFill="1" applyBorder="1" applyAlignment="1">
      <alignment vertical="center" wrapText="1"/>
    </xf>
    <xf numFmtId="0" fontId="3" fillId="14" borderId="0" xfId="3" applyFont="1" applyFill="1" applyBorder="1" applyAlignment="1">
      <alignment vertical="center"/>
    </xf>
    <xf numFmtId="10" fontId="1" fillId="14" borderId="0" xfId="3" applyNumberFormat="1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 wrapText="1"/>
    </xf>
    <xf numFmtId="0" fontId="7" fillId="15" borderId="9" xfId="0" applyFont="1" applyFill="1" applyBorder="1"/>
    <xf numFmtId="43" fontId="0" fillId="0" borderId="9" xfId="0" applyNumberFormat="1" applyBorder="1"/>
    <xf numFmtId="0" fontId="7" fillId="15" borderId="9" xfId="0" applyFont="1" applyFill="1" applyBorder="1" applyAlignment="1">
      <alignment wrapText="1"/>
    </xf>
    <xf numFmtId="0" fontId="12" fillId="11" borderId="9" xfId="0" applyFont="1" applyFill="1" applyBorder="1"/>
    <xf numFmtId="43" fontId="12" fillId="11" borderId="9" xfId="0" applyNumberFormat="1" applyFont="1" applyFill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0" fillId="0" borderId="0" xfId="0" applyAlignment="1">
      <alignment horizontal="centerContinuous" wrapText="1"/>
    </xf>
    <xf numFmtId="0" fontId="14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2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8" fontId="11" fillId="0" borderId="26" xfId="3" applyNumberFormat="1" applyBorder="1" applyAlignment="1">
      <alignment horizontal="right" vertical="center"/>
    </xf>
    <xf numFmtId="168" fontId="11" fillId="0" borderId="27" xfId="3" applyNumberFormat="1" applyBorder="1" applyAlignment="1">
      <alignment horizontal="right" vertical="center"/>
    </xf>
    <xf numFmtId="169" fontId="1" fillId="0" borderId="30" xfId="3" applyNumberFormat="1" applyFont="1" applyBorder="1" applyAlignment="1">
      <alignment horizontal="right" vertical="center"/>
    </xf>
    <xf numFmtId="169" fontId="1" fillId="0" borderId="31" xfId="3" applyNumberFormat="1" applyFont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3" borderId="2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166" fontId="2" fillId="0" borderId="7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8" fillId="2" borderId="5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4" fillId="0" borderId="5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42" xfId="3" applyFont="1" applyBorder="1" applyAlignment="1">
      <alignment horizontal="left" vertical="center"/>
    </xf>
    <xf numFmtId="0" fontId="3" fillId="0" borderId="43" xfId="3" applyFont="1" applyBorder="1" applyAlignment="1">
      <alignment horizontal="left" vertical="center"/>
    </xf>
    <xf numFmtId="0" fontId="6" fillId="0" borderId="5" xfId="3" applyFont="1" applyBorder="1" applyAlignment="1">
      <alignment horizontal="center" vertical="center"/>
    </xf>
    <xf numFmtId="0" fontId="11" fillId="0" borderId="0" xfId="3" applyAlignment="1">
      <alignment horizontal="center" vertical="center" wrapText="1"/>
    </xf>
    <xf numFmtId="167" fontId="1" fillId="0" borderId="23" xfId="4" applyFont="1" applyBorder="1" applyAlignment="1">
      <alignment horizontal="center" vertical="center"/>
    </xf>
    <xf numFmtId="167" fontId="1" fillId="0" borderId="29" xfId="4" applyFont="1" applyBorder="1" applyAlignment="1">
      <alignment horizontal="left" vertical="center"/>
    </xf>
    <xf numFmtId="167" fontId="1" fillId="0" borderId="33" xfId="4" applyFont="1" applyBorder="1" applyAlignment="1">
      <alignment horizontal="left" vertical="center"/>
    </xf>
    <xf numFmtId="167" fontId="1" fillId="0" borderId="22" xfId="4" applyFont="1" applyBorder="1" applyAlignment="1">
      <alignment horizontal="left" vertical="center"/>
    </xf>
    <xf numFmtId="167" fontId="1" fillId="0" borderId="34" xfId="4" applyFont="1" applyBorder="1" applyAlignment="1">
      <alignment horizontal="left" vertical="center"/>
    </xf>
    <xf numFmtId="167" fontId="1" fillId="0" borderId="35" xfId="4" applyFont="1" applyBorder="1" applyAlignment="1">
      <alignment horizontal="left" vertical="center"/>
    </xf>
    <xf numFmtId="167" fontId="3" fillId="0" borderId="16" xfId="4" applyFont="1" applyBorder="1" applyAlignment="1">
      <alignment horizontal="left" vertical="center"/>
    </xf>
    <xf numFmtId="167" fontId="3" fillId="0" borderId="17" xfId="4" applyFont="1" applyBorder="1" applyAlignment="1">
      <alignment horizontal="left" vertical="center"/>
    </xf>
    <xf numFmtId="167" fontId="3" fillId="0" borderId="18" xfId="4" applyFont="1" applyBorder="1" applyAlignment="1">
      <alignment horizontal="left" vertical="center"/>
    </xf>
    <xf numFmtId="0" fontId="1" fillId="0" borderId="29" xfId="3" applyFont="1" applyBorder="1" applyAlignment="1">
      <alignment horizontal="left" vertical="center"/>
    </xf>
    <xf numFmtId="0" fontId="1" fillId="0" borderId="33" xfId="3" applyFont="1" applyBorder="1" applyAlignment="1">
      <alignment horizontal="left" vertical="center"/>
    </xf>
    <xf numFmtId="0" fontId="1" fillId="0" borderId="32" xfId="3" applyFont="1" applyBorder="1" applyAlignment="1">
      <alignment horizontal="left" vertical="center"/>
    </xf>
    <xf numFmtId="0" fontId="3" fillId="0" borderId="1" xfId="6" applyBorder="1" applyAlignment="1">
      <alignment horizontal="left" vertical="top" wrapText="1"/>
    </xf>
    <xf numFmtId="0" fontId="3" fillId="0" borderId="2" xfId="6" applyBorder="1" applyAlignment="1">
      <alignment horizontal="left" vertical="top" wrapText="1"/>
    </xf>
    <xf numFmtId="0" fontId="3" fillId="0" borderId="3" xfId="6" applyBorder="1" applyAlignment="1">
      <alignment horizontal="left" vertical="top" wrapText="1"/>
    </xf>
    <xf numFmtId="0" fontId="3" fillId="0" borderId="14" xfId="6" applyBorder="1" applyAlignment="1">
      <alignment horizontal="left" vertical="top" wrapText="1"/>
    </xf>
    <xf numFmtId="0" fontId="3" fillId="0" borderId="0" xfId="6" applyAlignment="1">
      <alignment horizontal="left" vertical="top" wrapText="1"/>
    </xf>
    <xf numFmtId="0" fontId="3" fillId="0" borderId="13" xfId="6" applyBorder="1" applyAlignment="1">
      <alignment horizontal="left" vertical="top" wrapText="1"/>
    </xf>
    <xf numFmtId="0" fontId="3" fillId="0" borderId="4" xfId="6" applyBorder="1" applyAlignment="1">
      <alignment horizontal="left" vertical="top" wrapText="1"/>
    </xf>
    <xf numFmtId="0" fontId="3" fillId="0" borderId="5" xfId="6" applyBorder="1" applyAlignment="1">
      <alignment horizontal="left" vertical="top" wrapText="1"/>
    </xf>
    <xf numFmtId="0" fontId="3" fillId="0" borderId="6" xfId="6" applyBorder="1" applyAlignment="1">
      <alignment horizontal="left" vertical="top" wrapText="1"/>
    </xf>
    <xf numFmtId="0" fontId="19" fillId="0" borderId="9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25" fillId="11" borderId="9" xfId="0" applyFon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43" fontId="0" fillId="10" borderId="9" xfId="0" applyNumberForma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43" fontId="0" fillId="11" borderId="9" xfId="0" applyNumberFormat="1" applyFill="1" applyBorder="1" applyAlignment="1">
      <alignment horizontal="center"/>
    </xf>
    <xf numFmtId="166" fontId="0" fillId="0" borderId="9" xfId="1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10" borderId="9" xfId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26" fillId="11" borderId="9" xfId="0" applyFont="1" applyFill="1" applyBorder="1" applyAlignment="1">
      <alignment horizontal="center"/>
    </xf>
    <xf numFmtId="0" fontId="12" fillId="11" borderId="9" xfId="0" applyFont="1" applyFill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10" borderId="38" xfId="7" applyFont="1" applyFill="1" applyBorder="1" applyAlignment="1">
      <alignment horizontal="center"/>
    </xf>
    <xf numFmtId="0" fontId="3" fillId="10" borderId="9" xfId="7" applyFont="1" applyFill="1" applyBorder="1" applyAlignment="1">
      <alignment horizontal="center"/>
    </xf>
    <xf numFmtId="0" fontId="3" fillId="10" borderId="39" xfId="7" applyFont="1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3" fillId="10" borderId="3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39" xfId="0" applyFont="1" applyFill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3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66" fontId="2" fillId="0" borderId="8" xfId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66" fontId="2" fillId="0" borderId="8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6" fontId="4" fillId="4" borderId="11" xfId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">
    <cellStyle name="Hiperlink" xfId="7" builtinId="8"/>
    <cellStyle name="Moeda" xfId="1" builtinId="4"/>
    <cellStyle name="Normal" xfId="0" builtinId="0"/>
    <cellStyle name="Normal 2" xfId="3"/>
    <cellStyle name="Normal 2 2" xfId="6"/>
    <cellStyle name="Porcentagem" xfId="2" builtinId="5"/>
    <cellStyle name="Porcentagem 2" xfId="5"/>
    <cellStyle name="Vírgula 2" xfId="4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2095922</xdr:colOff>
      <xdr:row>41</xdr:row>
      <xdr:rowOff>45787</xdr:rowOff>
    </xdr:from>
    <xdr:to>
      <xdr:col>2</xdr:col>
      <xdr:colOff>2962</xdr:colOff>
      <xdr:row>46</xdr:row>
      <xdr:rowOff>113097</xdr:rowOff>
    </xdr:to>
    <xdr:pic>
      <xdr:nvPicPr>
        <xdr:cNvPr id="2" name="Imagem 1" descr="Z:\COMERCIAL\LICITAÇÕES\2016\PORTOS\Assinatura Artur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97" t="8476" r="38035" b="79801"/>
        <a:stretch/>
      </xdr:blipFill>
      <xdr:spPr bwMode="auto">
        <a:xfrm>
          <a:off x="2419772" y="8884987"/>
          <a:ext cx="2540" cy="876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371476</xdr:colOff>
      <xdr:row>0</xdr:row>
      <xdr:rowOff>9525</xdr:rowOff>
    </xdr:from>
    <xdr:to>
      <xdr:col>18</xdr:col>
      <xdr:colOff>276226</xdr:colOff>
      <xdr:row>2</xdr:row>
      <xdr:rowOff>866775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6" y="9525"/>
          <a:ext cx="4781550" cy="1571625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2</xdr:row>
      <xdr:rowOff>1162051</xdr:rowOff>
    </xdr:from>
    <xdr:to>
      <xdr:col>18</xdr:col>
      <xdr:colOff>542925</xdr:colOff>
      <xdr:row>7</xdr:row>
      <xdr:rowOff>66676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1647826"/>
          <a:ext cx="5191125" cy="1657350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219075</xdr:colOff>
      <xdr:row>12</xdr:row>
      <xdr:rowOff>66676</xdr:rowOff>
    </xdr:from>
    <xdr:to>
      <xdr:col>19</xdr:col>
      <xdr:colOff>19050</xdr:colOff>
      <xdr:row>26</xdr:row>
      <xdr:rowOff>9526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3467101"/>
          <a:ext cx="5286375" cy="2209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28</xdr:row>
      <xdr:rowOff>0</xdr:rowOff>
    </xdr:from>
    <xdr:to>
      <xdr:col>19</xdr:col>
      <xdr:colOff>85725</xdr:colOff>
      <xdr:row>41</xdr:row>
      <xdr:rowOff>47625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5275" y="5991225"/>
          <a:ext cx="5334000" cy="215265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43</xdr:row>
      <xdr:rowOff>0</xdr:rowOff>
    </xdr:from>
    <xdr:to>
      <xdr:col>19</xdr:col>
      <xdr:colOff>57151</xdr:colOff>
      <xdr:row>54</xdr:row>
      <xdr:rowOff>9525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34325" y="8420100"/>
          <a:ext cx="5286376" cy="17907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57</xdr:row>
      <xdr:rowOff>1</xdr:rowOff>
    </xdr:from>
    <xdr:to>
      <xdr:col>19</xdr:col>
      <xdr:colOff>133351</xdr:colOff>
      <xdr:row>68</xdr:row>
      <xdr:rowOff>123826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34325" y="10687051"/>
          <a:ext cx="5362576" cy="1905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70</xdr:row>
      <xdr:rowOff>85725</xdr:rowOff>
    </xdr:from>
    <xdr:to>
      <xdr:col>19</xdr:col>
      <xdr:colOff>285750</xdr:colOff>
      <xdr:row>84</xdr:row>
      <xdr:rowOff>19050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48725" y="12877800"/>
          <a:ext cx="5495925" cy="2200275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86</xdr:row>
      <xdr:rowOff>1</xdr:rowOff>
    </xdr:from>
    <xdr:to>
      <xdr:col>19</xdr:col>
      <xdr:colOff>371475</xdr:colOff>
      <xdr:row>100</xdr:row>
      <xdr:rowOff>133351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29675" y="15382876"/>
          <a:ext cx="5600700" cy="24003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228601</xdr:colOff>
      <xdr:row>102</xdr:row>
      <xdr:rowOff>0</xdr:rowOff>
    </xdr:from>
    <xdr:to>
      <xdr:col>20</xdr:col>
      <xdr:colOff>38101</xdr:colOff>
      <xdr:row>114</xdr:row>
      <xdr:rowOff>66675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1101" y="17973675"/>
          <a:ext cx="5905500" cy="200977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209549</xdr:colOff>
      <xdr:row>116</xdr:row>
      <xdr:rowOff>1</xdr:rowOff>
    </xdr:from>
    <xdr:to>
      <xdr:col>20</xdr:col>
      <xdr:colOff>57150</xdr:colOff>
      <xdr:row>135</xdr:row>
      <xdr:rowOff>104776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82049" y="20240626"/>
          <a:ext cx="5943601" cy="318135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137</xdr:row>
      <xdr:rowOff>0</xdr:rowOff>
    </xdr:from>
    <xdr:to>
      <xdr:col>20</xdr:col>
      <xdr:colOff>123825</xdr:colOff>
      <xdr:row>153</xdr:row>
      <xdr:rowOff>66675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82050" y="23641050"/>
          <a:ext cx="6010275" cy="2657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154</xdr:row>
      <xdr:rowOff>1</xdr:rowOff>
    </xdr:from>
    <xdr:to>
      <xdr:col>20</xdr:col>
      <xdr:colOff>152401</xdr:colOff>
      <xdr:row>170</xdr:row>
      <xdr:rowOff>38100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34425" y="26393776"/>
          <a:ext cx="6086476" cy="262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173</xdr:row>
      <xdr:rowOff>1</xdr:rowOff>
    </xdr:from>
    <xdr:to>
      <xdr:col>20</xdr:col>
      <xdr:colOff>104775</xdr:colOff>
      <xdr:row>185</xdr:row>
      <xdr:rowOff>133351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53475" y="30118051"/>
          <a:ext cx="6019800" cy="2076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187</xdr:row>
      <xdr:rowOff>0</xdr:rowOff>
    </xdr:from>
    <xdr:to>
      <xdr:col>20</xdr:col>
      <xdr:colOff>152400</xdr:colOff>
      <xdr:row>198</xdr:row>
      <xdr:rowOff>76200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677275" y="32385000"/>
          <a:ext cx="6143625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200</xdr:row>
      <xdr:rowOff>0</xdr:rowOff>
    </xdr:from>
    <xdr:to>
      <xdr:col>20</xdr:col>
      <xdr:colOff>104775</xdr:colOff>
      <xdr:row>216</xdr:row>
      <xdr:rowOff>28575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15375" y="34490025"/>
          <a:ext cx="6057900" cy="2619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285751</xdr:colOff>
      <xdr:row>0</xdr:row>
      <xdr:rowOff>76200</xdr:rowOff>
    </xdr:from>
    <xdr:to>
      <xdr:col>18</xdr:col>
      <xdr:colOff>247651</xdr:colOff>
      <xdr:row>9</xdr:row>
      <xdr:rowOff>685800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1" y="76200"/>
          <a:ext cx="6057900" cy="34004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11</xdr:row>
      <xdr:rowOff>1</xdr:rowOff>
    </xdr:from>
    <xdr:to>
      <xdr:col>18</xdr:col>
      <xdr:colOff>285751</xdr:colOff>
      <xdr:row>26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1" y="3638551"/>
          <a:ext cx="5772150" cy="39814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18</xdr:col>
      <xdr:colOff>276225</xdr:colOff>
      <xdr:row>48</xdr:row>
      <xdr:rowOff>114300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9700" y="7848600"/>
          <a:ext cx="5762625" cy="3352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18</xdr:col>
      <xdr:colOff>247650</xdr:colOff>
      <xdr:row>68</xdr:row>
      <xdr:rowOff>133350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29700" y="11410950"/>
          <a:ext cx="573405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mte.gov.br/sistemas/mediador/Resumo/ResumoVisualizar" TargetMode="External"/><Relationship Id="rId13" Type="http://schemas.openxmlformats.org/officeDocument/2006/relationships/hyperlink" Target="https://pncp.gov.br/app/editais?pagina=2&amp;q=ra%C3%A7%C3%A3o&amp;status=todos&amp;ufs=RS" TargetMode="External"/><Relationship Id="rId3" Type="http://schemas.openxmlformats.org/officeDocument/2006/relationships/hyperlink" Target="https://www.gov.br/trabalho-e-emprego/pt-br/acesso-a-informacao/participacao-social/conselhos-e-orgaos-colegiados/comissao-tripartite-partitaria-permanente/arquivos/normas-regulamentadoras/nr-06-atualizada-2022-1.pdf" TargetMode="External"/><Relationship Id="rId7" Type="http://schemas.openxmlformats.org/officeDocument/2006/relationships/hyperlink" Target="https://casacivil.rs.gov.br/sancionado-reajuste-de-8-do-piso-regional-de-2025" TargetMode="External"/><Relationship Id="rId12" Type="http://schemas.openxmlformats.org/officeDocument/2006/relationships/hyperlink" Target="https://www.gov.br/inss/pt-br/acesso-a-informacao/licitacoes-e-contratos/licitacoes-superintendencia-regional-norte-centro-oeste-regioes-norte-e-centro-oeste-do-pais/copy2_of_5.Anexo_IV_do_Edital___Planilha_de_Composicao_do_BDI.pdf" TargetMode="External"/><Relationship Id="rId2" Type="http://schemas.openxmlformats.org/officeDocument/2006/relationships/hyperlink" Target="https://casacivil.rs.gov.br/sancionado-reajuste-de-8-do-piso-regional-de-2025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://www.simvetrs.org.br/" TargetMode="External"/><Relationship Id="rId6" Type="http://schemas.openxmlformats.org/officeDocument/2006/relationships/hyperlink" Target="https://casacivil.rs.gov.br/sancionado-reajuste-de-8-do-piso-regional-de-2025" TargetMode="External"/><Relationship Id="rId11" Type="http://schemas.openxmlformats.org/officeDocument/2006/relationships/hyperlink" Target="https://www3.mte.gov.br/sistemas/mediador/Resumo/ResumoVisualizar" TargetMode="External"/><Relationship Id="rId5" Type="http://schemas.openxmlformats.org/officeDocument/2006/relationships/hyperlink" Target="https://veiculos.fipe.org.br/" TargetMode="External"/><Relationship Id="rId15" Type="http://schemas.openxmlformats.org/officeDocument/2006/relationships/hyperlink" Target="https://www.normaslegais.com.br/legislacao/anexoIII-in-rfb-1700-2017.htm" TargetMode="External"/><Relationship Id="rId10" Type="http://schemas.openxmlformats.org/officeDocument/2006/relationships/hyperlink" Target="https://sinecarga.org.br/wp/wp-content/uploads/2025/05/ACT-2025-registrada.pdf" TargetMode="External"/><Relationship Id="rId4" Type="http://schemas.openxmlformats.org/officeDocument/2006/relationships/hyperlink" Target="https://www.caixa.gov.br/Downloads/sinapi-metodologia/Livro_SINAPI_Calculos_Parametros.pdf" TargetMode="External"/><Relationship Id="rId9" Type="http://schemas.openxmlformats.org/officeDocument/2006/relationships/hyperlink" Target="https://sinecarga.org.br/wp/wp-content/uploads/2025/05/ACT-2025-registrada.pdf" TargetMode="External"/><Relationship Id="rId14" Type="http://schemas.openxmlformats.org/officeDocument/2006/relationships/hyperlink" Target="https://www.caixa.gov.br/Downloads/sinapi-metodologia/Livro_SINAPI_Calculos_Parametro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1"/>
  <sheetViews>
    <sheetView view="pageBreakPreview" topLeftCell="A116" zoomScaleNormal="120" zoomScaleSheetLayoutView="100" workbookViewId="0">
      <selection activeCell="B1" sqref="A1:H141"/>
    </sheetView>
  </sheetViews>
  <sheetFormatPr defaultRowHeight="12.75" x14ac:dyDescent="0.2"/>
  <cols>
    <col min="1" max="1" width="2.28515625" customWidth="1"/>
    <col min="2" max="2" width="2.140625" customWidth="1"/>
    <col min="3" max="3" width="26.85546875" style="2" customWidth="1"/>
    <col min="4" max="4" width="10.7109375" style="2" customWidth="1"/>
    <col min="5" max="5" width="15.7109375" style="2" customWidth="1"/>
    <col min="6" max="6" width="19.140625" style="2" customWidth="1"/>
    <col min="7" max="7" width="14.140625" style="2" customWidth="1"/>
    <col min="8" max="8" width="21.5703125" style="2" customWidth="1"/>
    <col min="9" max="9" width="17.85546875" customWidth="1"/>
    <col min="10" max="10" width="20.28515625" customWidth="1"/>
    <col min="12" max="12" width="12.28515625" customWidth="1"/>
  </cols>
  <sheetData>
    <row r="1" spans="3:9" x14ac:dyDescent="0.2">
      <c r="G1" s="5" t="s">
        <v>322</v>
      </c>
      <c r="H1" s="197">
        <v>46041</v>
      </c>
    </row>
    <row r="2" spans="3:9" x14ac:dyDescent="0.2">
      <c r="C2" s="299" t="s">
        <v>0</v>
      </c>
      <c r="D2" s="300"/>
      <c r="E2" s="300"/>
      <c r="F2" s="300"/>
      <c r="G2" s="300"/>
      <c r="H2" s="301"/>
      <c r="I2" s="1"/>
    </row>
    <row r="3" spans="3:9" x14ac:dyDescent="0.2">
      <c r="C3" s="302"/>
      <c r="D3" s="303"/>
      <c r="E3" s="303"/>
      <c r="F3" s="303"/>
      <c r="G3" s="303"/>
      <c r="H3" s="304"/>
      <c r="I3" s="1"/>
    </row>
    <row r="4" spans="3:9" x14ac:dyDescent="0.2">
      <c r="C4" s="275" t="s">
        <v>1</v>
      </c>
      <c r="D4" s="277"/>
      <c r="E4" s="9" t="s">
        <v>2</v>
      </c>
      <c r="F4" s="305" t="s">
        <v>19</v>
      </c>
      <c r="G4" s="305"/>
      <c r="H4" s="305"/>
      <c r="I4" s="1"/>
    </row>
    <row r="5" spans="3:9" ht="11.25" customHeight="1" x14ac:dyDescent="0.2">
      <c r="C5" s="306"/>
      <c r="D5" s="307"/>
      <c r="E5" s="310"/>
      <c r="F5" s="312"/>
      <c r="G5" s="313"/>
      <c r="H5" s="314"/>
      <c r="I5" s="1"/>
    </row>
    <row r="6" spans="3:9" ht="11.25" customHeight="1" x14ac:dyDescent="0.2">
      <c r="C6" s="308"/>
      <c r="D6" s="309"/>
      <c r="E6" s="311"/>
      <c r="F6" s="315"/>
      <c r="G6" s="316"/>
      <c r="H6" s="317"/>
      <c r="I6" s="1"/>
    </row>
    <row r="7" spans="3:9" x14ac:dyDescent="0.2">
      <c r="C7" s="275" t="s">
        <v>231</v>
      </c>
      <c r="D7" s="276"/>
      <c r="E7" s="276"/>
      <c r="F7" s="276"/>
      <c r="G7" s="276"/>
      <c r="H7" s="277"/>
      <c r="I7" s="1"/>
    </row>
    <row r="8" spans="3:9" ht="45" customHeight="1" x14ac:dyDescent="0.2">
      <c r="C8" s="264" t="s">
        <v>324</v>
      </c>
      <c r="D8" s="262"/>
      <c r="E8" s="262"/>
      <c r="F8" s="262"/>
      <c r="G8" s="262"/>
      <c r="H8" s="263"/>
      <c r="I8" s="1"/>
    </row>
    <row r="9" spans="3:9" x14ac:dyDescent="0.2">
      <c r="C9" s="322"/>
      <c r="D9" s="322"/>
      <c r="E9" s="322"/>
      <c r="F9" s="322"/>
      <c r="G9" s="322"/>
      <c r="H9" s="323"/>
      <c r="I9" s="1"/>
    </row>
    <row r="10" spans="3:9" x14ac:dyDescent="0.2">
      <c r="C10" s="272" t="s">
        <v>234</v>
      </c>
      <c r="D10" s="273"/>
      <c r="E10" s="273"/>
      <c r="F10" s="273"/>
      <c r="G10" s="273"/>
      <c r="H10" s="274"/>
      <c r="I10" s="2"/>
    </row>
    <row r="11" spans="3:9" x14ac:dyDescent="0.2">
      <c r="C11" s="220"/>
      <c r="D11" s="221"/>
      <c r="E11" s="221"/>
      <c r="F11" s="221"/>
      <c r="G11" s="472"/>
      <c r="H11" s="473"/>
      <c r="I11" s="2"/>
    </row>
    <row r="12" spans="3:9" x14ac:dyDescent="0.2">
      <c r="C12" s="290" t="s">
        <v>3</v>
      </c>
      <c r="D12" s="291"/>
      <c r="E12" s="291"/>
      <c r="F12" s="292"/>
      <c r="G12" s="7" t="s">
        <v>4</v>
      </c>
      <c r="H12" s="7" t="s">
        <v>5</v>
      </c>
      <c r="I12" s="2"/>
    </row>
    <row r="13" spans="3:9" x14ac:dyDescent="0.2">
      <c r="C13" s="275" t="s">
        <v>6</v>
      </c>
      <c r="D13" s="276"/>
      <c r="E13" s="276"/>
      <c r="F13" s="276"/>
      <c r="G13" s="276"/>
      <c r="H13" s="277"/>
      <c r="I13" s="2"/>
    </row>
    <row r="14" spans="3:9" x14ac:dyDescent="0.2">
      <c r="C14" s="266" t="s">
        <v>232</v>
      </c>
      <c r="D14" s="267"/>
      <c r="E14" s="267"/>
      <c r="F14" s="267"/>
      <c r="G14" s="268"/>
      <c r="H14" s="3">
        <f>'RESPONSÁVEL TÉCNICO'!B13</f>
        <v>3316.0462411999997</v>
      </c>
      <c r="I14" s="2"/>
    </row>
    <row r="15" spans="3:9" x14ac:dyDescent="0.2">
      <c r="C15" s="266" t="s">
        <v>233</v>
      </c>
      <c r="D15" s="267"/>
      <c r="E15" s="267"/>
      <c r="F15" s="267"/>
      <c r="G15" s="268"/>
      <c r="H15" s="3">
        <f>'RESPONSÁVEL TÉCNICO'!B14</f>
        <v>195.01666666666665</v>
      </c>
      <c r="I15" s="2"/>
    </row>
    <row r="16" spans="3:9" x14ac:dyDescent="0.2">
      <c r="C16" s="266" t="s">
        <v>167</v>
      </c>
      <c r="D16" s="267"/>
      <c r="E16" s="267"/>
      <c r="F16" s="267"/>
      <c r="G16" s="268"/>
      <c r="H16" s="3">
        <f>'RESPONSÁVEL TÉCNICO'!B15</f>
        <v>779.10485925561329</v>
      </c>
      <c r="I16" s="2"/>
    </row>
    <row r="17" spans="3:9" s="4" customFormat="1" x14ac:dyDescent="0.2">
      <c r="C17" s="269" t="s">
        <v>7</v>
      </c>
      <c r="D17" s="270"/>
      <c r="E17" s="270"/>
      <c r="F17" s="270"/>
      <c r="G17" s="271"/>
      <c r="H17" s="12">
        <f>SUM(H14:H16)</f>
        <v>4290.1677671222797</v>
      </c>
      <c r="I17" s="5"/>
    </row>
    <row r="18" spans="3:9" s="4" customFormat="1" x14ac:dyDescent="0.2">
      <c r="C18" s="174"/>
      <c r="D18" s="175"/>
      <c r="E18" s="175"/>
      <c r="F18" s="175"/>
      <c r="G18" s="176"/>
      <c r="H18" s="12"/>
      <c r="I18" s="5"/>
    </row>
    <row r="19" spans="3:9" s="4" customFormat="1" x14ac:dyDescent="0.2">
      <c r="C19" s="272" t="s">
        <v>235</v>
      </c>
      <c r="D19" s="273"/>
      <c r="E19" s="273"/>
      <c r="F19" s="273"/>
      <c r="G19" s="273"/>
      <c r="H19" s="274"/>
      <c r="I19" s="5"/>
    </row>
    <row r="20" spans="3:9" s="4" customFormat="1" x14ac:dyDescent="0.2">
      <c r="C20" s="220"/>
      <c r="D20" s="221"/>
      <c r="E20" s="221"/>
      <c r="F20" s="221"/>
      <c r="G20" s="472"/>
      <c r="H20" s="473"/>
      <c r="I20" s="5"/>
    </row>
    <row r="21" spans="3:9" x14ac:dyDescent="0.2">
      <c r="C21" s="290" t="s">
        <v>3</v>
      </c>
      <c r="D21" s="291"/>
      <c r="E21" s="291"/>
      <c r="F21" s="292"/>
      <c r="G21" s="7" t="s">
        <v>4</v>
      </c>
      <c r="H21" s="7" t="s">
        <v>5</v>
      </c>
      <c r="I21" s="2"/>
    </row>
    <row r="22" spans="3:9" x14ac:dyDescent="0.2">
      <c r="C22" s="275" t="s">
        <v>6</v>
      </c>
      <c r="D22" s="276"/>
      <c r="E22" s="276"/>
      <c r="F22" s="276"/>
      <c r="G22" s="276"/>
      <c r="H22" s="277"/>
      <c r="I22" s="2"/>
    </row>
    <row r="23" spans="3:9" x14ac:dyDescent="0.2">
      <c r="C23" s="266" t="s">
        <v>232</v>
      </c>
      <c r="D23" s="267"/>
      <c r="E23" s="267"/>
      <c r="F23" s="267"/>
      <c r="G23" s="268"/>
      <c r="H23" s="3">
        <f>'AUXILIAR '!B12</f>
        <v>4490.3527238000006</v>
      </c>
      <c r="I23" s="2"/>
    </row>
    <row r="24" spans="3:9" x14ac:dyDescent="0.2">
      <c r="C24" s="266" t="s">
        <v>233</v>
      </c>
      <c r="D24" s="267"/>
      <c r="E24" s="267"/>
      <c r="F24" s="267"/>
      <c r="G24" s="268"/>
      <c r="H24" s="3">
        <f>'AUXILIAR '!B13</f>
        <v>195.01666666666665</v>
      </c>
      <c r="I24" s="2"/>
    </row>
    <row r="25" spans="3:9" x14ac:dyDescent="0.2">
      <c r="C25" s="266" t="s">
        <v>167</v>
      </c>
      <c r="D25" s="267"/>
      <c r="E25" s="267"/>
      <c r="F25" s="267"/>
      <c r="G25" s="268"/>
      <c r="H25" s="3">
        <f>'AUXILIAR '!B14</f>
        <v>1039.6834677445536</v>
      </c>
      <c r="I25" s="2"/>
    </row>
    <row r="26" spans="3:9" s="4" customFormat="1" x14ac:dyDescent="0.2">
      <c r="C26" s="269" t="s">
        <v>7</v>
      </c>
      <c r="D26" s="270"/>
      <c r="E26" s="270"/>
      <c r="F26" s="270"/>
      <c r="G26" s="271"/>
      <c r="H26" s="12">
        <f>'AUXILIAR '!B15</f>
        <v>5725.0528582112202</v>
      </c>
      <c r="I26" s="5"/>
    </row>
    <row r="27" spans="3:9" s="4" customFormat="1" x14ac:dyDescent="0.2">
      <c r="C27" s="174" t="s">
        <v>330</v>
      </c>
      <c r="D27" s="175"/>
      <c r="E27" s="175"/>
      <c r="F27" s="175"/>
      <c r="G27" s="176"/>
      <c r="H27" s="12">
        <f>H26*2</f>
        <v>11450.10571642244</v>
      </c>
      <c r="I27" s="5"/>
    </row>
    <row r="28" spans="3:9" ht="12.75" customHeight="1" x14ac:dyDescent="0.2">
      <c r="C28" s="272" t="s">
        <v>236</v>
      </c>
      <c r="D28" s="273"/>
      <c r="E28" s="273"/>
      <c r="F28" s="273"/>
      <c r="G28" s="273"/>
      <c r="H28" s="274"/>
      <c r="I28" s="2"/>
    </row>
    <row r="29" spans="3:9" ht="12.75" customHeight="1" x14ac:dyDescent="0.2">
      <c r="C29" s="220"/>
      <c r="D29" s="221"/>
      <c r="E29" s="221"/>
      <c r="F29" s="221"/>
      <c r="G29" s="472"/>
      <c r="H29" s="473"/>
      <c r="I29" s="2"/>
    </row>
    <row r="30" spans="3:9" ht="12.75" customHeight="1" x14ac:dyDescent="0.2">
      <c r="C30" s="290" t="s">
        <v>3</v>
      </c>
      <c r="D30" s="291"/>
      <c r="E30" s="291"/>
      <c r="F30" s="292"/>
      <c r="G30" s="7" t="s">
        <v>4</v>
      </c>
      <c r="H30" s="7" t="s">
        <v>5</v>
      </c>
      <c r="I30" s="2"/>
    </row>
    <row r="31" spans="3:9" s="4" customFormat="1" x14ac:dyDescent="0.2">
      <c r="C31" s="275" t="s">
        <v>6</v>
      </c>
      <c r="D31" s="276"/>
      <c r="E31" s="276"/>
      <c r="F31" s="276"/>
      <c r="G31" s="276"/>
      <c r="H31" s="277"/>
      <c r="I31" s="5"/>
    </row>
    <row r="32" spans="3:9" x14ac:dyDescent="0.2">
      <c r="C32" s="266" t="s">
        <v>232</v>
      </c>
      <c r="D32" s="267"/>
      <c r="E32" s="267"/>
      <c r="F32" s="267"/>
      <c r="G32" s="268"/>
      <c r="H32" s="3">
        <f>MOTORISTA!B13</f>
        <v>4276.7509669999999</v>
      </c>
      <c r="I32" s="2"/>
    </row>
    <row r="33" spans="3:9" ht="12.75" customHeight="1" x14ac:dyDescent="0.2">
      <c r="C33" s="266" t="s">
        <v>233</v>
      </c>
      <c r="D33" s="267"/>
      <c r="E33" s="267"/>
      <c r="F33" s="267"/>
      <c r="G33" s="268"/>
      <c r="H33" s="3">
        <f>MOTORISTA!B14</f>
        <v>103.79583333333335</v>
      </c>
      <c r="I33" s="2"/>
    </row>
    <row r="34" spans="3:9" ht="12.75" customHeight="1" x14ac:dyDescent="0.2">
      <c r="C34" s="266" t="s">
        <v>167</v>
      </c>
      <c r="D34" s="267"/>
      <c r="E34" s="267"/>
      <c r="F34" s="267"/>
      <c r="G34" s="268"/>
      <c r="H34" s="3">
        <f>MOTORISTA!B15</f>
        <v>972.04333499396682</v>
      </c>
      <c r="I34" s="2"/>
    </row>
    <row r="35" spans="3:9" x14ac:dyDescent="0.2">
      <c r="C35" s="269" t="s">
        <v>7</v>
      </c>
      <c r="D35" s="270"/>
      <c r="E35" s="270"/>
      <c r="F35" s="270"/>
      <c r="G35" s="271"/>
      <c r="H35" s="12">
        <f>SUM(H32:H34)</f>
        <v>5352.5901353273002</v>
      </c>
      <c r="I35" s="2"/>
    </row>
    <row r="36" spans="3:9" x14ac:dyDescent="0.2">
      <c r="C36" s="174"/>
      <c r="D36" s="175"/>
      <c r="E36" s="175"/>
      <c r="F36" s="175"/>
      <c r="G36" s="176"/>
      <c r="H36" s="12"/>
      <c r="I36" s="2"/>
    </row>
    <row r="37" spans="3:9" x14ac:dyDescent="0.2">
      <c r="C37" s="272" t="s">
        <v>331</v>
      </c>
      <c r="D37" s="273"/>
      <c r="E37" s="273"/>
      <c r="F37" s="273"/>
      <c r="G37" s="273"/>
      <c r="H37" s="274"/>
      <c r="I37" s="2"/>
    </row>
    <row r="38" spans="3:9" x14ac:dyDescent="0.2">
      <c r="C38" s="220"/>
      <c r="D38" s="221"/>
      <c r="E38" s="221"/>
      <c r="F38" s="221"/>
      <c r="G38" s="472"/>
      <c r="H38" s="473"/>
      <c r="I38" s="2"/>
    </row>
    <row r="39" spans="3:9" x14ac:dyDescent="0.2">
      <c r="C39" s="290" t="s">
        <v>3</v>
      </c>
      <c r="D39" s="291"/>
      <c r="E39" s="291"/>
      <c r="F39" s="292"/>
      <c r="G39" s="7" t="s">
        <v>4</v>
      </c>
      <c r="H39" s="7" t="s">
        <v>5</v>
      </c>
      <c r="I39" s="2"/>
    </row>
    <row r="40" spans="3:9" x14ac:dyDescent="0.2">
      <c r="C40" s="275" t="s">
        <v>6</v>
      </c>
      <c r="D40" s="276"/>
      <c r="E40" s="276"/>
      <c r="F40" s="276"/>
      <c r="G40" s="276"/>
      <c r="H40" s="277"/>
      <c r="I40" s="2"/>
    </row>
    <row r="41" spans="3:9" x14ac:dyDescent="0.2">
      <c r="C41" s="266" t="s">
        <v>232</v>
      </c>
      <c r="D41" s="267"/>
      <c r="E41" s="267"/>
      <c r="F41" s="267"/>
      <c r="G41" s="268"/>
      <c r="H41" s="3">
        <f>VETERINÁRIO!B13</f>
        <v>10717.4028808</v>
      </c>
      <c r="I41" s="2"/>
    </row>
    <row r="42" spans="3:9" x14ac:dyDescent="0.2">
      <c r="C42" s="266" t="s">
        <v>233</v>
      </c>
      <c r="D42" s="267"/>
      <c r="E42" s="267"/>
      <c r="F42" s="267"/>
      <c r="G42" s="268"/>
      <c r="H42" s="3">
        <f>VETERINÁRIO!B14</f>
        <v>195.01666666666665</v>
      </c>
      <c r="I42" s="2"/>
    </row>
    <row r="43" spans="3:9" x14ac:dyDescent="0.2">
      <c r="C43" s="266" t="s">
        <v>167</v>
      </c>
      <c r="D43" s="267"/>
      <c r="E43" s="267"/>
      <c r="F43" s="267"/>
      <c r="G43" s="268"/>
      <c r="H43" s="3">
        <f>VETERINÁRIO!B15</f>
        <v>2421.4658975828534</v>
      </c>
      <c r="I43" s="2"/>
    </row>
    <row r="44" spans="3:9" x14ac:dyDescent="0.2">
      <c r="C44" s="269" t="s">
        <v>7</v>
      </c>
      <c r="D44" s="270"/>
      <c r="E44" s="270"/>
      <c r="F44" s="270"/>
      <c r="G44" s="271"/>
      <c r="H44" s="12">
        <f>SUM(H41:H43)</f>
        <v>13333.88544504952</v>
      </c>
      <c r="I44" s="2"/>
    </row>
    <row r="45" spans="3:9" x14ac:dyDescent="0.2">
      <c r="C45" s="217"/>
      <c r="D45" s="218"/>
      <c r="E45" s="218"/>
      <c r="F45" s="218"/>
      <c r="G45" s="218"/>
      <c r="H45" s="192"/>
      <c r="I45" s="2"/>
    </row>
    <row r="46" spans="3:9" x14ac:dyDescent="0.2">
      <c r="C46" s="459"/>
      <c r="D46" s="460"/>
      <c r="E46" s="460"/>
      <c r="F46" s="460"/>
      <c r="G46" s="460"/>
      <c r="H46" s="458"/>
      <c r="I46" s="2"/>
    </row>
    <row r="47" spans="3:9" x14ac:dyDescent="0.2">
      <c r="C47" s="294" t="s">
        <v>273</v>
      </c>
      <c r="D47" s="295"/>
      <c r="E47" s="295"/>
      <c r="F47" s="295"/>
      <c r="G47" s="295"/>
      <c r="H47" s="192">
        <f>(H17+H27+H35+H44)</f>
        <v>34426.749063921539</v>
      </c>
      <c r="I47" s="2"/>
    </row>
    <row r="48" spans="3:9" x14ac:dyDescent="0.2">
      <c r="C48" s="219"/>
      <c r="D48" s="457"/>
      <c r="E48" s="457"/>
      <c r="F48" s="457"/>
      <c r="G48" s="457"/>
      <c r="H48" s="458"/>
      <c r="I48" s="2"/>
    </row>
    <row r="49" spans="3:9" ht="13.5" thickBot="1" x14ac:dyDescent="0.25">
      <c r="C49" s="219"/>
      <c r="D49" s="457"/>
      <c r="E49" s="457"/>
      <c r="F49" s="457"/>
      <c r="G49" s="457"/>
      <c r="H49" s="458"/>
      <c r="I49" s="2"/>
    </row>
    <row r="50" spans="3:9" x14ac:dyDescent="0.2">
      <c r="C50" s="287" t="s">
        <v>237</v>
      </c>
      <c r="D50" s="288"/>
      <c r="E50" s="288"/>
      <c r="F50" s="288"/>
      <c r="G50" s="289"/>
      <c r="H50" s="196"/>
      <c r="I50" s="2"/>
    </row>
    <row r="51" spans="3:9" x14ac:dyDescent="0.2">
      <c r="C51" s="296" t="s">
        <v>238</v>
      </c>
      <c r="D51" s="297"/>
      <c r="E51" s="297"/>
      <c r="F51" s="298"/>
      <c r="G51" s="244" t="s">
        <v>8</v>
      </c>
      <c r="H51" s="239"/>
      <c r="I51" s="17"/>
    </row>
    <row r="52" spans="3:9" x14ac:dyDescent="0.2">
      <c r="C52" s="293" t="s">
        <v>239</v>
      </c>
      <c r="D52" s="267"/>
      <c r="E52" s="267"/>
      <c r="F52" s="268"/>
      <c r="G52" s="245">
        <v>0.2</v>
      </c>
      <c r="H52" s="240"/>
      <c r="I52" s="16"/>
    </row>
    <row r="53" spans="3:9" x14ac:dyDescent="0.2">
      <c r="C53" s="293" t="s">
        <v>240</v>
      </c>
      <c r="D53" s="267"/>
      <c r="E53" s="267"/>
      <c r="F53" s="268"/>
      <c r="G53" s="245">
        <v>0.08</v>
      </c>
      <c r="H53" s="240"/>
    </row>
    <row r="54" spans="3:9" x14ac:dyDescent="0.2">
      <c r="C54" s="293" t="s">
        <v>241</v>
      </c>
      <c r="D54" s="267"/>
      <c r="E54" s="267"/>
      <c r="F54" s="268"/>
      <c r="G54" s="245">
        <v>1.4999999999999999E-2</v>
      </c>
      <c r="H54" s="240"/>
    </row>
    <row r="55" spans="3:9" x14ac:dyDescent="0.2">
      <c r="C55" s="293" t="s">
        <v>242</v>
      </c>
      <c r="D55" s="267"/>
      <c r="E55" s="267"/>
      <c r="F55" s="268"/>
      <c r="G55" s="245">
        <v>0.01</v>
      </c>
      <c r="H55" s="240"/>
    </row>
    <row r="56" spans="3:9" x14ac:dyDescent="0.2">
      <c r="C56" s="293" t="s">
        <v>243</v>
      </c>
      <c r="D56" s="267"/>
      <c r="E56" s="267"/>
      <c r="F56" s="268"/>
      <c r="G56" s="245">
        <v>2E-3</v>
      </c>
      <c r="H56" s="240"/>
    </row>
    <row r="57" spans="3:9" x14ac:dyDescent="0.2">
      <c r="C57" s="293" t="s">
        <v>244</v>
      </c>
      <c r="D57" s="267"/>
      <c r="E57" s="267"/>
      <c r="F57" s="268"/>
      <c r="G57" s="245">
        <v>6.0000000000000001E-3</v>
      </c>
      <c r="H57" s="240"/>
    </row>
    <row r="58" spans="3:9" x14ac:dyDescent="0.2">
      <c r="C58" s="293" t="s">
        <v>245</v>
      </c>
      <c r="D58" s="267"/>
      <c r="E58" s="267"/>
      <c r="F58" s="268"/>
      <c r="G58" s="245">
        <v>2.5000000000000001E-2</v>
      </c>
      <c r="H58" s="240"/>
    </row>
    <row r="59" spans="3:9" ht="22.5" customHeight="1" x14ac:dyDescent="0.2">
      <c r="C59" s="280" t="s">
        <v>246</v>
      </c>
      <c r="D59" s="281"/>
      <c r="E59" s="281"/>
      <c r="F59" s="282"/>
      <c r="G59" s="246">
        <v>0.03</v>
      </c>
      <c r="H59" s="240"/>
    </row>
    <row r="60" spans="3:9" x14ac:dyDescent="0.2">
      <c r="C60" s="321" t="s">
        <v>247</v>
      </c>
      <c r="D60" s="270"/>
      <c r="E60" s="270"/>
      <c r="F60" s="271"/>
      <c r="G60" s="247">
        <f>SUM(G52:G59)</f>
        <v>0.3680000000000001</v>
      </c>
      <c r="H60" s="458"/>
    </row>
    <row r="61" spans="3:9" x14ac:dyDescent="0.2">
      <c r="C61" s="296" t="s">
        <v>253</v>
      </c>
      <c r="D61" s="297"/>
      <c r="E61" s="297"/>
      <c r="F61" s="298"/>
      <c r="G61" s="244" t="s">
        <v>8</v>
      </c>
      <c r="H61" s="239"/>
    </row>
    <row r="62" spans="3:9" x14ac:dyDescent="0.2">
      <c r="C62" s="293" t="s">
        <v>254</v>
      </c>
      <c r="D62" s="267"/>
      <c r="E62" s="267"/>
      <c r="F62" s="268"/>
      <c r="G62" s="245">
        <v>0</v>
      </c>
      <c r="H62" s="240"/>
    </row>
    <row r="63" spans="3:9" x14ac:dyDescent="0.2">
      <c r="C63" s="293" t="s">
        <v>255</v>
      </c>
      <c r="D63" s="267"/>
      <c r="E63" s="267"/>
      <c r="F63" s="268"/>
      <c r="G63" s="245">
        <v>0</v>
      </c>
      <c r="H63" s="240"/>
    </row>
    <row r="64" spans="3:9" x14ac:dyDescent="0.2">
      <c r="C64" s="293" t="s">
        <v>256</v>
      </c>
      <c r="D64" s="267"/>
      <c r="E64" s="267"/>
      <c r="F64" s="268"/>
      <c r="G64" s="245">
        <v>6.4000000000000003E-3</v>
      </c>
      <c r="H64" s="240"/>
    </row>
    <row r="65" spans="3:8" x14ac:dyDescent="0.2">
      <c r="C65" s="293" t="s">
        <v>257</v>
      </c>
      <c r="D65" s="267"/>
      <c r="E65" s="267"/>
      <c r="F65" s="268"/>
      <c r="G65" s="245">
        <v>8.3299999999999999E-2</v>
      </c>
      <c r="H65" s="240"/>
    </row>
    <row r="66" spans="3:8" x14ac:dyDescent="0.2">
      <c r="C66" s="293" t="s">
        <v>258</v>
      </c>
      <c r="D66" s="267"/>
      <c r="E66" s="267"/>
      <c r="F66" s="268"/>
      <c r="G66" s="245">
        <v>4.0000000000000002E-4</v>
      </c>
      <c r="H66" s="240"/>
    </row>
    <row r="67" spans="3:8" x14ac:dyDescent="0.2">
      <c r="C67" s="293" t="s">
        <v>259</v>
      </c>
      <c r="D67" s="267"/>
      <c r="E67" s="267"/>
      <c r="F67" s="268"/>
      <c r="G67" s="245">
        <v>5.5999999999999999E-3</v>
      </c>
      <c r="H67" s="240"/>
    </row>
    <row r="68" spans="3:8" x14ac:dyDescent="0.2">
      <c r="C68" s="293" t="s">
        <v>260</v>
      </c>
      <c r="D68" s="267"/>
      <c r="E68" s="267"/>
      <c r="F68" s="268"/>
      <c r="G68" s="245">
        <v>0</v>
      </c>
      <c r="H68" s="240"/>
    </row>
    <row r="69" spans="3:8" x14ac:dyDescent="0.2">
      <c r="C69" s="293" t="s">
        <v>261</v>
      </c>
      <c r="D69" s="267"/>
      <c r="E69" s="267"/>
      <c r="F69" s="268"/>
      <c r="G69" s="245">
        <v>8.0000000000000004E-4</v>
      </c>
      <c r="H69" s="240"/>
    </row>
    <row r="70" spans="3:8" x14ac:dyDescent="0.2">
      <c r="C70" s="293" t="s">
        <v>262</v>
      </c>
      <c r="D70" s="267"/>
      <c r="E70" s="267"/>
      <c r="F70" s="268"/>
      <c r="G70" s="245">
        <v>8.7400000000000005E-2</v>
      </c>
      <c r="H70" s="240"/>
    </row>
    <row r="71" spans="3:8" x14ac:dyDescent="0.2">
      <c r="C71" s="293" t="s">
        <v>263</v>
      </c>
      <c r="D71" s="267"/>
      <c r="E71" s="267"/>
      <c r="F71" s="268"/>
      <c r="G71" s="245">
        <v>2.9999999999999997E-4</v>
      </c>
      <c r="H71" s="240"/>
    </row>
    <row r="72" spans="3:8" ht="12.75" customHeight="1" x14ac:dyDescent="0.2">
      <c r="C72" s="321" t="s">
        <v>248</v>
      </c>
      <c r="D72" s="270"/>
      <c r="E72" s="270"/>
      <c r="F72" s="271"/>
      <c r="G72" s="247">
        <f>SUM(G62:G71)</f>
        <v>0.1842</v>
      </c>
      <c r="H72" s="458"/>
    </row>
    <row r="73" spans="3:8" ht="12.75" customHeight="1" x14ac:dyDescent="0.2">
      <c r="C73" s="296" t="s">
        <v>264</v>
      </c>
      <c r="D73" s="297"/>
      <c r="E73" s="297"/>
      <c r="F73" s="298"/>
      <c r="G73" s="244" t="s">
        <v>8</v>
      </c>
      <c r="H73" s="239"/>
    </row>
    <row r="74" spans="3:8" x14ac:dyDescent="0.2">
      <c r="C74" s="293" t="s">
        <v>265</v>
      </c>
      <c r="D74" s="267"/>
      <c r="E74" s="267"/>
      <c r="F74" s="268"/>
      <c r="G74" s="245">
        <v>3.4700000000000002E-2</v>
      </c>
      <c r="H74" s="240"/>
    </row>
    <row r="75" spans="3:8" x14ac:dyDescent="0.2">
      <c r="C75" s="293" t="s">
        <v>266</v>
      </c>
      <c r="D75" s="267"/>
      <c r="E75" s="267"/>
      <c r="F75" s="268"/>
      <c r="G75" s="245">
        <v>8.0000000000000004E-4</v>
      </c>
      <c r="H75" s="240"/>
    </row>
    <row r="76" spans="3:8" x14ac:dyDescent="0.2">
      <c r="C76" s="280" t="s">
        <v>267</v>
      </c>
      <c r="D76" s="281"/>
      <c r="E76" s="281"/>
      <c r="F76" s="282"/>
      <c r="G76" s="245">
        <v>1.7100000000000001E-2</v>
      </c>
      <c r="H76" s="240"/>
    </row>
    <row r="77" spans="3:8" x14ac:dyDescent="0.2">
      <c r="C77" s="280" t="s">
        <v>268</v>
      </c>
      <c r="D77" s="281"/>
      <c r="E77" s="281"/>
      <c r="F77" s="282"/>
      <c r="G77" s="245">
        <v>1.9300000000000001E-2</v>
      </c>
      <c r="H77" s="240"/>
    </row>
    <row r="78" spans="3:8" x14ac:dyDescent="0.2">
      <c r="C78" s="280" t="s">
        <v>269</v>
      </c>
      <c r="D78" s="281"/>
      <c r="E78" s="281"/>
      <c r="F78" s="282"/>
      <c r="G78" s="245">
        <v>2.8999999999999998E-3</v>
      </c>
      <c r="H78" s="240"/>
    </row>
    <row r="79" spans="3:8" x14ac:dyDescent="0.2">
      <c r="C79" s="321" t="s">
        <v>249</v>
      </c>
      <c r="D79" s="270"/>
      <c r="E79" s="270"/>
      <c r="F79" s="271"/>
      <c r="G79" s="247">
        <f>SUM(G74:G78)</f>
        <v>7.4800000000000005E-2</v>
      </c>
      <c r="H79" s="461"/>
    </row>
    <row r="80" spans="3:8" ht="12.75" customHeight="1" x14ac:dyDescent="0.2">
      <c r="C80" s="296" t="s">
        <v>270</v>
      </c>
      <c r="D80" s="297"/>
      <c r="E80" s="297"/>
      <c r="F80" s="298"/>
      <c r="G80" s="248" t="s">
        <v>8</v>
      </c>
      <c r="H80" s="241"/>
    </row>
    <row r="81" spans="3:8" ht="26.25" customHeight="1" x14ac:dyDescent="0.2">
      <c r="C81" s="374" t="s">
        <v>271</v>
      </c>
      <c r="D81" s="375"/>
      <c r="E81" s="375"/>
      <c r="F81" s="376"/>
      <c r="G81" s="246">
        <f>G60*G72</f>
        <v>6.7785600000000015E-2</v>
      </c>
      <c r="H81" s="242"/>
    </row>
    <row r="82" spans="3:8" ht="26.25" customHeight="1" x14ac:dyDescent="0.2">
      <c r="C82" s="318" t="s">
        <v>272</v>
      </c>
      <c r="D82" s="319"/>
      <c r="E82" s="319"/>
      <c r="F82" s="320"/>
      <c r="G82" s="249">
        <v>3.0999999999999999E-3</v>
      </c>
      <c r="H82" s="243"/>
    </row>
    <row r="83" spans="3:8" ht="24" customHeight="1" x14ac:dyDescent="0.2">
      <c r="C83" s="321" t="s">
        <v>250</v>
      </c>
      <c r="D83" s="270"/>
      <c r="E83" s="270"/>
      <c r="F83" s="271"/>
      <c r="G83" s="247">
        <f>SUM(G81:G82)</f>
        <v>7.0885600000000021E-2</v>
      </c>
      <c r="H83" s="461"/>
    </row>
    <row r="84" spans="3:8" ht="12.75" customHeight="1" thickBot="1" x14ac:dyDescent="0.25">
      <c r="C84" s="371" t="s">
        <v>251</v>
      </c>
      <c r="D84" s="372"/>
      <c r="E84" s="372"/>
      <c r="F84" s="373"/>
      <c r="G84" s="250">
        <f>G60+G72+G79+G83</f>
        <v>0.69788560000000011</v>
      </c>
      <c r="H84" s="461"/>
    </row>
    <row r="85" spans="3:8" ht="12.75" customHeight="1" thickBot="1" x14ac:dyDescent="0.25">
      <c r="C85" s="462"/>
      <c r="D85" s="462"/>
      <c r="E85" s="462"/>
      <c r="F85" s="462"/>
      <c r="G85" s="463"/>
      <c r="H85" s="464"/>
    </row>
    <row r="86" spans="3:8" ht="13.5" thickBot="1" x14ac:dyDescent="0.25">
      <c r="C86" s="469" t="s">
        <v>252</v>
      </c>
      <c r="D86" s="470"/>
      <c r="E86" s="470"/>
      <c r="F86" s="470"/>
      <c r="G86" s="470"/>
      <c r="H86" s="471"/>
    </row>
    <row r="87" spans="3:8" ht="12.75" customHeight="1" x14ac:dyDescent="0.2">
      <c r="C87" s="465" t="s">
        <v>193</v>
      </c>
      <c r="D87" s="466"/>
      <c r="E87" s="466"/>
      <c r="F87" s="466"/>
      <c r="G87" s="467"/>
      <c r="H87" s="468">
        <f>EQUIPAMENTOS!H8</f>
        <v>83.076261111111123</v>
      </c>
    </row>
    <row r="88" spans="3:8" x14ac:dyDescent="0.2">
      <c r="C88" s="266" t="s">
        <v>274</v>
      </c>
      <c r="D88" s="267"/>
      <c r="E88" s="267"/>
      <c r="F88" s="267"/>
      <c r="G88" s="268"/>
      <c r="H88" s="10">
        <v>8964.5499999999993</v>
      </c>
    </row>
    <row r="89" spans="3:8" x14ac:dyDescent="0.2">
      <c r="C89" s="266" t="s">
        <v>275</v>
      </c>
      <c r="D89" s="267"/>
      <c r="E89" s="267"/>
      <c r="F89" s="267"/>
      <c r="G89" s="268"/>
      <c r="H89" s="10">
        <f>LIMPEZA!H22</f>
        <v>762.71000000000015</v>
      </c>
    </row>
    <row r="90" spans="3:8" x14ac:dyDescent="0.2">
      <c r="C90" s="269" t="s">
        <v>9</v>
      </c>
      <c r="D90" s="270"/>
      <c r="E90" s="270"/>
      <c r="F90" s="270"/>
      <c r="G90" s="271"/>
      <c r="H90" s="11">
        <f>SUM(H87:H89)</f>
        <v>9810.3362611111115</v>
      </c>
    </row>
    <row r="91" spans="3:8" x14ac:dyDescent="0.2">
      <c r="C91" s="193"/>
      <c r="D91" s="194"/>
      <c r="E91" s="194"/>
      <c r="F91" s="194"/>
      <c r="G91" s="194"/>
      <c r="H91" s="251"/>
    </row>
    <row r="92" spans="3:8" x14ac:dyDescent="0.2">
      <c r="C92" s="366" t="s">
        <v>276</v>
      </c>
      <c r="D92" s="367"/>
      <c r="E92" s="367"/>
      <c r="F92" s="367"/>
      <c r="G92" s="367"/>
      <c r="H92" s="368"/>
    </row>
    <row r="93" spans="3:8" x14ac:dyDescent="0.2">
      <c r="C93" s="369" t="s">
        <v>277</v>
      </c>
      <c r="D93" s="370"/>
      <c r="E93" s="370"/>
      <c r="F93" s="370"/>
      <c r="G93" s="370"/>
      <c r="H93" s="198">
        <f>CARRO!E6</f>
        <v>663.15</v>
      </c>
    </row>
    <row r="94" spans="3:8" x14ac:dyDescent="0.2">
      <c r="C94" s="369" t="s">
        <v>278</v>
      </c>
      <c r="D94" s="370"/>
      <c r="E94" s="370"/>
      <c r="F94" s="370"/>
      <c r="G94" s="370"/>
      <c r="H94" s="198">
        <f>CARRO!E7</f>
        <v>108.57833333333332</v>
      </c>
    </row>
    <row r="95" spans="3:8" x14ac:dyDescent="0.2">
      <c r="C95" s="369" t="s">
        <v>279</v>
      </c>
      <c r="D95" s="370"/>
      <c r="E95" s="370"/>
      <c r="F95" s="370"/>
      <c r="G95" s="370"/>
      <c r="H95" s="198">
        <f>CARRO!E8</f>
        <v>121.2067</v>
      </c>
    </row>
    <row r="96" spans="3:8" x14ac:dyDescent="0.2">
      <c r="C96" s="362" t="s">
        <v>280</v>
      </c>
      <c r="D96" s="363"/>
      <c r="E96" s="363"/>
      <c r="F96" s="363"/>
      <c r="G96" s="363"/>
      <c r="H96" s="199">
        <f>CARRO!E9</f>
        <v>208.33333333333334</v>
      </c>
    </row>
    <row r="97" spans="3:8" x14ac:dyDescent="0.2">
      <c r="C97" s="362" t="s">
        <v>281</v>
      </c>
      <c r="D97" s="363"/>
      <c r="E97" s="363"/>
      <c r="F97" s="363"/>
      <c r="G97" s="363"/>
      <c r="H97" s="199">
        <f>CARRO!E12</f>
        <v>250</v>
      </c>
    </row>
    <row r="98" spans="3:8" x14ac:dyDescent="0.2">
      <c r="C98" s="362" t="s">
        <v>282</v>
      </c>
      <c r="D98" s="363"/>
      <c r="E98" s="363"/>
      <c r="F98" s="363"/>
      <c r="G98" s="363"/>
      <c r="H98" s="199">
        <f>CARRO!E13</f>
        <v>139.30333333333334</v>
      </c>
    </row>
    <row r="99" spans="3:8" x14ac:dyDescent="0.2">
      <c r="C99" s="362" t="s">
        <v>283</v>
      </c>
      <c r="D99" s="363"/>
      <c r="E99" s="363"/>
      <c r="F99" s="363"/>
      <c r="G99" s="363"/>
      <c r="H99" s="199">
        <f>CARRO!E14</f>
        <v>533.00847457627117</v>
      </c>
    </row>
    <row r="100" spans="3:8" x14ac:dyDescent="0.2">
      <c r="C100" s="362" t="s">
        <v>161</v>
      </c>
      <c r="D100" s="363"/>
      <c r="E100" s="363"/>
      <c r="F100" s="363"/>
      <c r="G100" s="363"/>
      <c r="H100" s="199">
        <f>CARRO!E15</f>
        <v>280</v>
      </c>
    </row>
    <row r="101" spans="3:8" x14ac:dyDescent="0.2">
      <c r="C101" s="364" t="s">
        <v>166</v>
      </c>
      <c r="D101" s="365"/>
      <c r="E101" s="365"/>
      <c r="F101" s="365"/>
      <c r="G101" s="365"/>
      <c r="H101" s="200">
        <f>SUM(H93:H100)</f>
        <v>2303.580174576271</v>
      </c>
    </row>
    <row r="102" spans="3:8" ht="13.5" thickBot="1" x14ac:dyDescent="0.25">
      <c r="C102" s="206"/>
      <c r="D102" s="207"/>
      <c r="E102" s="207"/>
      <c r="F102" s="187"/>
      <c r="G102" s="187"/>
      <c r="H102" s="199"/>
    </row>
    <row r="103" spans="3:8" x14ac:dyDescent="0.2">
      <c r="C103" s="214" t="s">
        <v>93</v>
      </c>
      <c r="D103" s="215"/>
      <c r="E103" s="216"/>
      <c r="F103" s="187"/>
      <c r="G103" s="187"/>
      <c r="H103" s="199"/>
    </row>
    <row r="104" spans="3:8" x14ac:dyDescent="0.2">
      <c r="C104" s="83" t="s">
        <v>94</v>
      </c>
      <c r="D104" s="202" t="s">
        <v>95</v>
      </c>
      <c r="E104" s="203">
        <v>0.05</v>
      </c>
      <c r="F104" s="187"/>
      <c r="G104" s="187"/>
      <c r="H104" s="199"/>
    </row>
    <row r="105" spans="3:8" x14ac:dyDescent="0.2">
      <c r="C105" s="83" t="s">
        <v>96</v>
      </c>
      <c r="D105" s="202" t="s">
        <v>97</v>
      </c>
      <c r="E105" s="203">
        <v>2.5000000000000001E-3</v>
      </c>
      <c r="F105" s="187"/>
      <c r="G105" s="187"/>
      <c r="H105" s="199"/>
    </row>
    <row r="106" spans="3:8" x14ac:dyDescent="0.2">
      <c r="C106" s="83" t="s">
        <v>98</v>
      </c>
      <c r="D106" s="202" t="s">
        <v>99</v>
      </c>
      <c r="E106" s="203">
        <v>0.05</v>
      </c>
      <c r="F106" s="187"/>
      <c r="G106" s="187"/>
      <c r="H106" s="199"/>
    </row>
    <row r="107" spans="3:8" x14ac:dyDescent="0.2">
      <c r="C107" s="83" t="s">
        <v>100</v>
      </c>
      <c r="D107" s="202" t="s">
        <v>101</v>
      </c>
      <c r="E107" s="203">
        <v>0.01</v>
      </c>
      <c r="F107" s="187"/>
      <c r="G107" s="187"/>
      <c r="H107" s="199"/>
    </row>
    <row r="108" spans="3:8" x14ac:dyDescent="0.2">
      <c r="C108" s="83" t="s">
        <v>102</v>
      </c>
      <c r="D108" s="331" t="s">
        <v>103</v>
      </c>
      <c r="E108" s="203">
        <v>0.05</v>
      </c>
      <c r="F108" s="187"/>
      <c r="G108" s="187"/>
      <c r="H108" s="199"/>
    </row>
    <row r="109" spans="3:8" ht="13.5" thickBot="1" x14ac:dyDescent="0.25">
      <c r="C109" s="190" t="s">
        <v>104</v>
      </c>
      <c r="D109" s="332"/>
      <c r="E109" s="204">
        <v>3.6499999999999998E-2</v>
      </c>
      <c r="F109" s="187"/>
      <c r="G109" s="187"/>
      <c r="H109" s="199"/>
    </row>
    <row r="110" spans="3:8" x14ac:dyDescent="0.2">
      <c r="C110" s="80" t="s">
        <v>105</v>
      </c>
      <c r="D110" s="81"/>
      <c r="E110" s="205"/>
      <c r="F110" s="187"/>
      <c r="G110" s="187"/>
      <c r="H110" s="199"/>
    </row>
    <row r="111" spans="3:8" ht="13.5" thickBot="1" x14ac:dyDescent="0.25">
      <c r="C111" s="190" t="s">
        <v>106</v>
      </c>
      <c r="D111" s="189"/>
      <c r="E111" s="204"/>
      <c r="F111" s="187"/>
      <c r="G111" s="187"/>
      <c r="H111" s="199"/>
    </row>
    <row r="112" spans="3:8" ht="26.25" thickBot="1" x14ac:dyDescent="0.25">
      <c r="C112" s="209" t="s">
        <v>107</v>
      </c>
      <c r="D112" s="210"/>
      <c r="E112" s="211">
        <f>ROUND((((1+E104+E105)*(1+E106)*(1+E107))/(1-(E108+E109))-1),4)</f>
        <v>0.22189999999999999</v>
      </c>
      <c r="F112" s="201"/>
      <c r="G112" s="201"/>
      <c r="H112" s="208"/>
    </row>
    <row r="113" spans="3:8" x14ac:dyDescent="0.2">
      <c r="C113" s="252"/>
      <c r="D113" s="253"/>
      <c r="E113" s="254"/>
      <c r="F113" s="201"/>
      <c r="G113" s="201"/>
      <c r="H113" s="208"/>
    </row>
    <row r="114" spans="3:8" x14ac:dyDescent="0.2">
      <c r="C114" s="327" t="s">
        <v>10</v>
      </c>
      <c r="D114" s="328"/>
      <c r="E114" s="328"/>
      <c r="F114" s="328"/>
      <c r="G114" s="328"/>
      <c r="H114" s="329"/>
    </row>
    <row r="115" spans="3:8" x14ac:dyDescent="0.2">
      <c r="C115" s="333" t="s">
        <v>11</v>
      </c>
      <c r="D115" s="334"/>
      <c r="E115" s="334"/>
      <c r="F115" s="334"/>
      <c r="G115" s="212"/>
      <c r="H115" s="213"/>
    </row>
    <row r="116" spans="3:8" ht="12.75" customHeight="1" x14ac:dyDescent="0.2">
      <c r="C116" s="330" t="s">
        <v>12</v>
      </c>
      <c r="D116" s="330" t="s">
        <v>13</v>
      </c>
      <c r="E116" s="312" t="s">
        <v>18</v>
      </c>
      <c r="F116" s="313"/>
      <c r="G116" s="313"/>
      <c r="H116" s="314"/>
    </row>
    <row r="117" spans="3:8" x14ac:dyDescent="0.2">
      <c r="C117" s="330"/>
      <c r="D117" s="330"/>
      <c r="E117" s="315"/>
      <c r="F117" s="316"/>
      <c r="G117" s="316"/>
      <c r="H117" s="317"/>
    </row>
    <row r="118" spans="3:8" x14ac:dyDescent="0.2">
      <c r="C118" s="188" t="s">
        <v>284</v>
      </c>
      <c r="D118" s="188">
        <v>5</v>
      </c>
      <c r="E118" s="324">
        <f>H47</f>
        <v>34426.749063921539</v>
      </c>
      <c r="F118" s="325"/>
      <c r="G118" s="325"/>
      <c r="H118" s="326"/>
    </row>
    <row r="119" spans="3:8" x14ac:dyDescent="0.2">
      <c r="C119" s="8" t="s">
        <v>14</v>
      </c>
      <c r="D119" s="6">
        <v>1</v>
      </c>
      <c r="E119" s="324">
        <f>H90</f>
        <v>9810.3362611111115</v>
      </c>
      <c r="F119" s="325"/>
      <c r="G119" s="325"/>
      <c r="H119" s="326"/>
    </row>
    <row r="120" spans="3:8" x14ac:dyDescent="0.2">
      <c r="C120" s="186" t="s">
        <v>194</v>
      </c>
      <c r="D120" s="185">
        <v>1</v>
      </c>
      <c r="E120" s="324">
        <f>H101</f>
        <v>2303.580174576271</v>
      </c>
      <c r="F120" s="325"/>
      <c r="G120" s="325"/>
      <c r="H120" s="326"/>
    </row>
    <row r="121" spans="3:8" x14ac:dyDescent="0.2">
      <c r="C121" s="353" t="s">
        <v>15</v>
      </c>
      <c r="D121" s="354"/>
      <c r="E121" s="324">
        <f>SUM(E118:E119)</f>
        <v>44237.085325032647</v>
      </c>
      <c r="F121" s="325"/>
      <c r="G121" s="325"/>
      <c r="H121" s="326"/>
    </row>
    <row r="122" spans="3:8" x14ac:dyDescent="0.2">
      <c r="C122" s="333" t="s">
        <v>16</v>
      </c>
      <c r="D122" s="334"/>
      <c r="E122" s="334"/>
      <c r="F122" s="334"/>
      <c r="G122" s="334"/>
      <c r="H122" s="355"/>
    </row>
    <row r="123" spans="3:8" ht="15.75" thickBot="1" x14ac:dyDescent="0.25">
      <c r="C123" s="356" t="s">
        <v>15</v>
      </c>
      <c r="D123" s="357"/>
      <c r="E123" s="357"/>
      <c r="F123" s="357"/>
      <c r="G123" s="358"/>
      <c r="H123" s="13">
        <f>E121</f>
        <v>44237.085325032647</v>
      </c>
    </row>
    <row r="124" spans="3:8" x14ac:dyDescent="0.2">
      <c r="C124" s="359" t="s">
        <v>17</v>
      </c>
      <c r="D124" s="360"/>
      <c r="E124" s="360"/>
      <c r="F124" s="360"/>
      <c r="G124" s="360"/>
      <c r="H124" s="361"/>
    </row>
    <row r="125" spans="3:8" ht="22.5" customHeight="1" x14ac:dyDescent="0.2">
      <c r="C125" s="335" t="s">
        <v>315</v>
      </c>
      <c r="D125" s="336"/>
      <c r="E125" s="336"/>
      <c r="F125" s="336"/>
      <c r="G125" s="336"/>
      <c r="H125" s="337"/>
    </row>
    <row r="126" spans="3:8" ht="37.5" customHeight="1" x14ac:dyDescent="0.2">
      <c r="C126" s="338"/>
      <c r="D126" s="339"/>
      <c r="E126" s="339"/>
      <c r="F126" s="339"/>
      <c r="G126" s="339"/>
      <c r="H126" s="340"/>
    </row>
    <row r="127" spans="3:8" ht="37.5" customHeight="1" x14ac:dyDescent="0.2">
      <c r="C127" s="226" t="s">
        <v>332</v>
      </c>
      <c r="D127" s="227"/>
      <c r="E127" s="227"/>
      <c r="F127" s="227"/>
      <c r="G127" s="227"/>
      <c r="H127" s="228"/>
    </row>
    <row r="128" spans="3:8" ht="12.75" customHeight="1" x14ac:dyDescent="0.2">
      <c r="C128" s="335" t="s">
        <v>327</v>
      </c>
      <c r="D128" s="336"/>
      <c r="E128" s="336"/>
      <c r="F128" s="336"/>
      <c r="G128" s="336"/>
      <c r="H128" s="337"/>
    </row>
    <row r="129" spans="1:9" x14ac:dyDescent="0.2">
      <c r="C129" s="338"/>
      <c r="D129" s="339"/>
      <c r="E129" s="339"/>
      <c r="F129" s="339"/>
      <c r="G129" s="339"/>
      <c r="H129" s="340"/>
    </row>
    <row r="130" spans="1:9" ht="12.75" customHeight="1" x14ac:dyDescent="0.2">
      <c r="C130" s="341" t="s">
        <v>318</v>
      </c>
      <c r="D130" s="342"/>
      <c r="E130" s="342"/>
      <c r="F130" s="342"/>
      <c r="G130" s="342"/>
      <c r="H130" s="343"/>
    </row>
    <row r="131" spans="1:9" x14ac:dyDescent="0.2">
      <c r="C131" s="344"/>
      <c r="D131" s="345"/>
      <c r="E131" s="345"/>
      <c r="F131" s="345"/>
      <c r="G131" s="345"/>
      <c r="H131" s="346"/>
    </row>
    <row r="132" spans="1:9" ht="39.75" customHeight="1" x14ac:dyDescent="0.2">
      <c r="C132" s="347"/>
      <c r="D132" s="348"/>
      <c r="E132" s="348"/>
      <c r="F132" s="348"/>
      <c r="G132" s="348"/>
      <c r="H132" s="349"/>
    </row>
    <row r="133" spans="1:9" ht="12.75" customHeight="1" x14ac:dyDescent="0.2">
      <c r="C133" s="335" t="s">
        <v>319</v>
      </c>
      <c r="D133" s="336"/>
      <c r="E133" s="336"/>
      <c r="F133" s="336"/>
      <c r="G133" s="336"/>
      <c r="H133" s="337"/>
    </row>
    <row r="134" spans="1:9" ht="49.5" customHeight="1" x14ac:dyDescent="0.2">
      <c r="C134" s="338"/>
      <c r="D134" s="339"/>
      <c r="E134" s="339"/>
      <c r="F134" s="339"/>
      <c r="G134" s="339"/>
      <c r="H134" s="340"/>
    </row>
    <row r="135" spans="1:9" ht="12.75" customHeight="1" x14ac:dyDescent="0.2">
      <c r="C135" s="335" t="s">
        <v>320</v>
      </c>
      <c r="D135" s="336"/>
      <c r="E135" s="336"/>
      <c r="F135" s="336"/>
      <c r="G135" s="336"/>
      <c r="H135" s="337"/>
    </row>
    <row r="136" spans="1:9" x14ac:dyDescent="0.2">
      <c r="C136" s="350"/>
      <c r="D136" s="351"/>
      <c r="E136" s="351"/>
      <c r="F136" s="351"/>
      <c r="G136" s="351"/>
      <c r="H136" s="352"/>
    </row>
    <row r="137" spans="1:9" x14ac:dyDescent="0.2">
      <c r="C137" s="338"/>
      <c r="D137" s="339"/>
      <c r="E137" s="339"/>
      <c r="F137" s="339"/>
      <c r="G137" s="339"/>
      <c r="H137" s="340"/>
    </row>
    <row r="138" spans="1:9" x14ac:dyDescent="0.2">
      <c r="C138" s="338"/>
      <c r="D138" s="339"/>
      <c r="E138" s="339"/>
      <c r="F138" s="339"/>
      <c r="G138" s="339"/>
      <c r="H138" s="340"/>
    </row>
    <row r="139" spans="1:9" ht="15" x14ac:dyDescent="0.25">
      <c r="A139" s="265"/>
      <c r="B139" s="265"/>
      <c r="C139" s="279" t="s">
        <v>325</v>
      </c>
      <c r="D139" s="279"/>
      <c r="E139" s="279"/>
      <c r="F139" s="279"/>
      <c r="G139" s="279"/>
      <c r="H139" s="279"/>
    </row>
    <row r="140" spans="1:9" ht="15" x14ac:dyDescent="0.25">
      <c r="A140" s="195"/>
      <c r="B140" s="195"/>
      <c r="C140" s="278" t="s">
        <v>326</v>
      </c>
      <c r="D140" s="278"/>
      <c r="E140" s="278"/>
      <c r="F140" s="278"/>
      <c r="G140" s="278"/>
      <c r="H140" s="278"/>
      <c r="I140" s="265"/>
    </row>
    <row r="141" spans="1:9" ht="15" x14ac:dyDescent="0.25">
      <c r="A141" s="278"/>
      <c r="B141" s="278"/>
      <c r="C141" s="278"/>
      <c r="D141" s="278"/>
      <c r="E141" s="278"/>
      <c r="F141" s="278"/>
      <c r="G141" s="278"/>
    </row>
  </sheetData>
  <mergeCells count="110">
    <mergeCell ref="C97:G97"/>
    <mergeCell ref="C98:G98"/>
    <mergeCell ref="C99:G99"/>
    <mergeCell ref="C100:G100"/>
    <mergeCell ref="C101:G101"/>
    <mergeCell ref="C16:G16"/>
    <mergeCell ref="C25:G25"/>
    <mergeCell ref="C88:G88"/>
    <mergeCell ref="C90:G90"/>
    <mergeCell ref="C89:G89"/>
    <mergeCell ref="C92:H92"/>
    <mergeCell ref="C93:G93"/>
    <mergeCell ref="C94:G94"/>
    <mergeCell ref="C95:G95"/>
    <mergeCell ref="C96:G96"/>
    <mergeCell ref="C87:G87"/>
    <mergeCell ref="C83:F83"/>
    <mergeCell ref="C84:F84"/>
    <mergeCell ref="C86:H86"/>
    <mergeCell ref="C79:F79"/>
    <mergeCell ref="C80:F80"/>
    <mergeCell ref="C81:F81"/>
    <mergeCell ref="C128:H129"/>
    <mergeCell ref="C130:H132"/>
    <mergeCell ref="C133:H134"/>
    <mergeCell ref="C135:H137"/>
    <mergeCell ref="C138:H138"/>
    <mergeCell ref="C121:D121"/>
    <mergeCell ref="C122:H122"/>
    <mergeCell ref="C123:G123"/>
    <mergeCell ref="C124:H124"/>
    <mergeCell ref="C125:H126"/>
    <mergeCell ref="E116:H117"/>
    <mergeCell ref="E118:H118"/>
    <mergeCell ref="E119:H119"/>
    <mergeCell ref="E120:H120"/>
    <mergeCell ref="E121:H121"/>
    <mergeCell ref="C114:H114"/>
    <mergeCell ref="C116:C117"/>
    <mergeCell ref="D116:D117"/>
    <mergeCell ref="D108:D109"/>
    <mergeCell ref="C115:F115"/>
    <mergeCell ref="C82:F82"/>
    <mergeCell ref="C70:F70"/>
    <mergeCell ref="C72:F72"/>
    <mergeCell ref="C73:F73"/>
    <mergeCell ref="C74:F74"/>
    <mergeCell ref="C75:F75"/>
    <mergeCell ref="C71:F71"/>
    <mergeCell ref="C7:H7"/>
    <mergeCell ref="C9:H9"/>
    <mergeCell ref="C28:H28"/>
    <mergeCell ref="C31:H31"/>
    <mergeCell ref="C21:F21"/>
    <mergeCell ref="C12:F12"/>
    <mergeCell ref="C60:F60"/>
    <mergeCell ref="C58:F58"/>
    <mergeCell ref="C59:F59"/>
    <mergeCell ref="C39:F39"/>
    <mergeCell ref="C30:F30"/>
    <mergeCell ref="C51:F51"/>
    <mergeCell ref="C52:F52"/>
    <mergeCell ref="C53:F53"/>
    <mergeCell ref="C61:F61"/>
    <mergeCell ref="C63:F63"/>
    <mergeCell ref="C41:G41"/>
    <mergeCell ref="C2:H3"/>
    <mergeCell ref="C4:D4"/>
    <mergeCell ref="F4:H4"/>
    <mergeCell ref="C5:D6"/>
    <mergeCell ref="E5:E6"/>
    <mergeCell ref="F5:H6"/>
    <mergeCell ref="C44:G44"/>
    <mergeCell ref="C42:G42"/>
    <mergeCell ref="C50:G50"/>
    <mergeCell ref="C24:G24"/>
    <mergeCell ref="C26:G26"/>
    <mergeCell ref="C10:H10"/>
    <mergeCell ref="C13:H13"/>
    <mergeCell ref="C14:G14"/>
    <mergeCell ref="C15:G15"/>
    <mergeCell ref="C17:G17"/>
    <mergeCell ref="C19:H19"/>
    <mergeCell ref="C22:H22"/>
    <mergeCell ref="C23:G23"/>
    <mergeCell ref="C47:G47"/>
    <mergeCell ref="C32:G32"/>
    <mergeCell ref="C33:G33"/>
    <mergeCell ref="C35:G35"/>
    <mergeCell ref="C37:H37"/>
    <mergeCell ref="C40:H40"/>
    <mergeCell ref="A141:G141"/>
    <mergeCell ref="C139:H139"/>
    <mergeCell ref="C140:H140"/>
    <mergeCell ref="C78:F78"/>
    <mergeCell ref="C64:F64"/>
    <mergeCell ref="C65:F65"/>
    <mergeCell ref="C66:F66"/>
    <mergeCell ref="C67:F67"/>
    <mergeCell ref="C62:F62"/>
    <mergeCell ref="C68:F68"/>
    <mergeCell ref="C69:F69"/>
    <mergeCell ref="C76:F76"/>
    <mergeCell ref="C77:F77"/>
    <mergeCell ref="C54:F54"/>
    <mergeCell ref="C55:F55"/>
    <mergeCell ref="C56:F56"/>
    <mergeCell ref="C57:F57"/>
    <mergeCell ref="C34:G34"/>
    <mergeCell ref="C43:G43"/>
  </mergeCells>
  <pageMargins left="0.31496062992125984" right="0.11811023622047245" top="0.23622047244094491" bottom="0.51181102362204722" header="0.31496062992125984" footer="0.51181102362204722"/>
  <pageSetup paperSize="9" scale="79" fitToHeight="0" orientation="portrait" r:id="rId1"/>
  <headerFooter alignWithMargins="0"/>
  <rowBreaks count="1" manualBreakCount="1">
    <brk id="56" min="1" max="8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30" sqref="D30:E30"/>
    </sheetView>
  </sheetViews>
  <sheetFormatPr defaultRowHeight="12.75" x14ac:dyDescent="0.2"/>
  <cols>
    <col min="3" max="3" width="20.140625" customWidth="1"/>
    <col min="4" max="4" width="9.140625" customWidth="1"/>
    <col min="5" max="5" width="36.5703125" customWidth="1"/>
    <col min="6" max="6" width="15.28515625" customWidth="1"/>
    <col min="7" max="7" width="14.42578125" customWidth="1"/>
  </cols>
  <sheetData>
    <row r="1" spans="1:5" ht="15" x14ac:dyDescent="0.2">
      <c r="A1" s="437" t="s">
        <v>230</v>
      </c>
      <c r="B1" s="437"/>
      <c r="C1" s="437"/>
      <c r="D1" s="437"/>
      <c r="E1" s="437"/>
    </row>
    <row r="2" spans="1:5" x14ac:dyDescent="0.2">
      <c r="A2" s="429" t="s">
        <v>221</v>
      </c>
      <c r="B2" s="429"/>
      <c r="C2" s="429"/>
      <c r="D2" s="429"/>
      <c r="E2" s="429"/>
    </row>
    <row r="3" spans="1:5" x14ac:dyDescent="0.2">
      <c r="A3" s="436" t="s">
        <v>222</v>
      </c>
      <c r="B3" s="436"/>
      <c r="C3" s="436"/>
      <c r="D3" s="436" t="s">
        <v>225</v>
      </c>
      <c r="E3" s="436"/>
    </row>
    <row r="4" spans="1:5" x14ac:dyDescent="0.2">
      <c r="A4" s="434">
        <v>2023</v>
      </c>
      <c r="B4" s="434"/>
      <c r="C4" s="434"/>
      <c r="D4" s="433">
        <v>87059.13</v>
      </c>
      <c r="E4" s="433"/>
    </row>
    <row r="5" spans="1:5" x14ac:dyDescent="0.2">
      <c r="A5" s="434">
        <v>2024</v>
      </c>
      <c r="B5" s="434"/>
      <c r="C5" s="434"/>
      <c r="D5" s="433">
        <v>45235</v>
      </c>
      <c r="E5" s="433"/>
    </row>
    <row r="6" spans="1:5" x14ac:dyDescent="0.2">
      <c r="A6" s="434">
        <v>2025</v>
      </c>
      <c r="B6" s="434"/>
      <c r="C6" s="434"/>
      <c r="D6" s="433">
        <v>21700</v>
      </c>
      <c r="E6" s="433"/>
    </row>
    <row r="7" spans="1:5" x14ac:dyDescent="0.2">
      <c r="A7" s="429" t="s">
        <v>223</v>
      </c>
      <c r="B7" s="429"/>
      <c r="C7" s="429"/>
      <c r="D7" s="435">
        <f>SUM(D4:E6)/3</f>
        <v>51331.376666666671</v>
      </c>
      <c r="E7" s="435"/>
    </row>
    <row r="8" spans="1:5" x14ac:dyDescent="0.2">
      <c r="A8" s="14"/>
      <c r="B8" s="14"/>
      <c r="C8" s="14"/>
      <c r="D8" s="14"/>
      <c r="E8" s="14"/>
    </row>
    <row r="9" spans="1:5" x14ac:dyDescent="0.2">
      <c r="A9" s="429" t="s">
        <v>224</v>
      </c>
      <c r="B9" s="429"/>
      <c r="C9" s="429"/>
      <c r="D9" s="429"/>
      <c r="E9" s="429"/>
    </row>
    <row r="10" spans="1:5" x14ac:dyDescent="0.2">
      <c r="A10" s="436" t="s">
        <v>222</v>
      </c>
      <c r="B10" s="436"/>
      <c r="C10" s="436"/>
      <c r="D10" s="436" t="s">
        <v>225</v>
      </c>
      <c r="E10" s="436"/>
    </row>
    <row r="11" spans="1:5" x14ac:dyDescent="0.2">
      <c r="A11" s="434">
        <v>2023</v>
      </c>
      <c r="B11" s="434"/>
      <c r="C11" s="434"/>
      <c r="D11" s="433">
        <v>17897.47</v>
      </c>
      <c r="E11" s="433"/>
    </row>
    <row r="12" spans="1:5" x14ac:dyDescent="0.2">
      <c r="A12" s="434">
        <v>2024</v>
      </c>
      <c r="B12" s="434"/>
      <c r="C12" s="434"/>
      <c r="D12" s="433">
        <v>72726.460000000006</v>
      </c>
      <c r="E12" s="433"/>
    </row>
    <row r="13" spans="1:5" x14ac:dyDescent="0.2">
      <c r="A13" s="434">
        <v>2025</v>
      </c>
      <c r="B13" s="434"/>
      <c r="C13" s="434"/>
      <c r="D13" s="433">
        <v>35558.83</v>
      </c>
      <c r="E13" s="433"/>
    </row>
    <row r="14" spans="1:5" x14ac:dyDescent="0.2">
      <c r="A14" s="429" t="s">
        <v>223</v>
      </c>
      <c r="B14" s="429"/>
      <c r="C14" s="429"/>
      <c r="D14" s="435">
        <f>SUM(D11:E13)/3</f>
        <v>42060.920000000006</v>
      </c>
      <c r="E14" s="435"/>
    </row>
    <row r="15" spans="1:5" x14ac:dyDescent="0.2">
      <c r="A15" s="14"/>
      <c r="B15" s="14"/>
      <c r="C15" s="14"/>
      <c r="D15" s="14"/>
      <c r="E15" s="14"/>
    </row>
    <row r="16" spans="1:5" x14ac:dyDescent="0.2">
      <c r="A16" s="429" t="s">
        <v>226</v>
      </c>
      <c r="B16" s="429"/>
      <c r="C16" s="429"/>
      <c r="D16" s="429"/>
      <c r="E16" s="429"/>
    </row>
    <row r="17" spans="1:5" x14ac:dyDescent="0.2">
      <c r="A17" s="436" t="s">
        <v>222</v>
      </c>
      <c r="B17" s="436"/>
      <c r="C17" s="436"/>
      <c r="D17" s="436" t="s">
        <v>225</v>
      </c>
      <c r="E17" s="436"/>
    </row>
    <row r="18" spans="1:5" x14ac:dyDescent="0.2">
      <c r="A18" s="434">
        <v>2023</v>
      </c>
      <c r="B18" s="434"/>
      <c r="C18" s="434"/>
      <c r="D18" s="433">
        <v>4275.3500000000004</v>
      </c>
      <c r="E18" s="433"/>
    </row>
    <row r="19" spans="1:5" x14ac:dyDescent="0.2">
      <c r="A19" s="434">
        <v>2024</v>
      </c>
      <c r="B19" s="434"/>
      <c r="C19" s="434"/>
      <c r="D19" s="433">
        <v>1371.41</v>
      </c>
      <c r="E19" s="433"/>
    </row>
    <row r="20" spans="1:5" x14ac:dyDescent="0.2">
      <c r="A20" s="434">
        <v>2025</v>
      </c>
      <c r="B20" s="434"/>
      <c r="C20" s="434"/>
      <c r="D20" s="433">
        <v>0</v>
      </c>
      <c r="E20" s="433"/>
    </row>
    <row r="21" spans="1:5" x14ac:dyDescent="0.2">
      <c r="A21" s="429" t="s">
        <v>223</v>
      </c>
      <c r="B21" s="429"/>
      <c r="C21" s="429"/>
      <c r="D21" s="435">
        <f>SUM(D18:E20)/3</f>
        <v>1882.2533333333333</v>
      </c>
      <c r="E21" s="435"/>
    </row>
    <row r="22" spans="1:5" x14ac:dyDescent="0.2">
      <c r="A22" s="14"/>
      <c r="B22" s="14"/>
      <c r="C22" s="14"/>
      <c r="D22" s="14"/>
      <c r="E22" s="14"/>
    </row>
    <row r="23" spans="1:5" x14ac:dyDescent="0.2">
      <c r="A23" s="429" t="s">
        <v>227</v>
      </c>
      <c r="B23" s="429"/>
      <c r="C23" s="429"/>
      <c r="D23" s="429"/>
      <c r="E23" s="429"/>
    </row>
    <row r="24" spans="1:5" x14ac:dyDescent="0.2">
      <c r="A24" s="436" t="s">
        <v>222</v>
      </c>
      <c r="B24" s="436"/>
      <c r="C24" s="436"/>
      <c r="D24" s="436" t="s">
        <v>225</v>
      </c>
      <c r="E24" s="436"/>
    </row>
    <row r="25" spans="1:5" x14ac:dyDescent="0.2">
      <c r="A25" s="434">
        <v>2023</v>
      </c>
      <c r="B25" s="434"/>
      <c r="C25" s="434"/>
      <c r="D25" s="433">
        <v>36900</v>
      </c>
      <c r="E25" s="433"/>
    </row>
    <row r="26" spans="1:5" x14ac:dyDescent="0.2">
      <c r="A26" s="434">
        <v>2024</v>
      </c>
      <c r="B26" s="434"/>
      <c r="C26" s="434"/>
      <c r="D26" s="433">
        <v>0</v>
      </c>
      <c r="E26" s="433"/>
    </row>
    <row r="27" spans="1:5" x14ac:dyDescent="0.2">
      <c r="A27" s="434">
        <v>2025</v>
      </c>
      <c r="B27" s="434"/>
      <c r="C27" s="434"/>
      <c r="D27" s="433">
        <v>0</v>
      </c>
      <c r="E27" s="433"/>
    </row>
    <row r="28" spans="1:5" x14ac:dyDescent="0.2">
      <c r="A28" s="429" t="s">
        <v>223</v>
      </c>
      <c r="B28" s="429"/>
      <c r="C28" s="429"/>
      <c r="D28" s="435">
        <f>SUM(D25:E27)/3</f>
        <v>12300</v>
      </c>
      <c r="E28" s="435"/>
    </row>
    <row r="29" spans="1:5" x14ac:dyDescent="0.2">
      <c r="A29" s="14"/>
      <c r="B29" s="14"/>
      <c r="C29" s="14"/>
      <c r="D29" s="14"/>
      <c r="E29" s="14"/>
    </row>
    <row r="30" spans="1:5" x14ac:dyDescent="0.2">
      <c r="A30" s="429" t="s">
        <v>228</v>
      </c>
      <c r="B30" s="429"/>
      <c r="C30" s="429"/>
      <c r="D30" s="430">
        <f>D7+D14+D21+D28</f>
        <v>107574.55</v>
      </c>
      <c r="E30" s="429"/>
    </row>
    <row r="31" spans="1:5" x14ac:dyDescent="0.2">
      <c r="A31" s="191"/>
      <c r="B31" s="431" t="s">
        <v>229</v>
      </c>
      <c r="C31" s="431"/>
      <c r="D31" s="432">
        <f>D30/12</f>
        <v>8964.5458333333336</v>
      </c>
      <c r="E31" s="431"/>
    </row>
  </sheetData>
  <mergeCells count="49">
    <mergeCell ref="A1:E1"/>
    <mergeCell ref="A2:E2"/>
    <mergeCell ref="A3:C3"/>
    <mergeCell ref="D3:E3"/>
    <mergeCell ref="A4:C4"/>
    <mergeCell ref="D4:E4"/>
    <mergeCell ref="A5:C5"/>
    <mergeCell ref="D5:E5"/>
    <mergeCell ref="A6:C6"/>
    <mergeCell ref="D6:E6"/>
    <mergeCell ref="A7:C7"/>
    <mergeCell ref="D7:E7"/>
    <mergeCell ref="A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6:E16"/>
    <mergeCell ref="A17:C17"/>
    <mergeCell ref="D17:E17"/>
    <mergeCell ref="A18:C18"/>
    <mergeCell ref="A19:C19"/>
    <mergeCell ref="A20:C20"/>
    <mergeCell ref="D18:E18"/>
    <mergeCell ref="D19:E19"/>
    <mergeCell ref="D20:E20"/>
    <mergeCell ref="A21:C21"/>
    <mergeCell ref="D21:E21"/>
    <mergeCell ref="A23:E23"/>
    <mergeCell ref="A24:C24"/>
    <mergeCell ref="D24:E24"/>
    <mergeCell ref="A25:C25"/>
    <mergeCell ref="A26:C26"/>
    <mergeCell ref="D25:E25"/>
    <mergeCell ref="A30:C30"/>
    <mergeCell ref="D30:E30"/>
    <mergeCell ref="B31:C31"/>
    <mergeCell ref="D31:E31"/>
    <mergeCell ref="D26:E26"/>
    <mergeCell ref="A27:C27"/>
    <mergeCell ref="A28:C28"/>
    <mergeCell ref="D27:E27"/>
    <mergeCell ref="D28:E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23" sqref="F23"/>
    </sheetView>
  </sheetViews>
  <sheetFormatPr defaultRowHeight="12.75" x14ac:dyDescent="0.2"/>
  <cols>
    <col min="1" max="1" width="62.28515625" customWidth="1"/>
    <col min="2" max="2" width="16.42578125" customWidth="1"/>
    <col min="3" max="3" width="13.28515625" customWidth="1"/>
    <col min="4" max="4" width="16.85546875" customWidth="1"/>
    <col min="5" max="5" width="15.85546875" customWidth="1"/>
    <col min="6" max="6" width="14.5703125" customWidth="1"/>
    <col min="7" max="7" width="15.42578125" customWidth="1"/>
    <col min="8" max="8" width="11.5703125" bestFit="1" customWidth="1"/>
  </cols>
  <sheetData>
    <row r="1" spans="1:8" ht="15.75" x14ac:dyDescent="0.25">
      <c r="A1" s="438" t="s">
        <v>303</v>
      </c>
      <c r="B1" s="438"/>
      <c r="C1" s="438"/>
      <c r="D1" s="438"/>
      <c r="E1" s="438"/>
      <c r="F1" s="438"/>
      <c r="G1" s="438"/>
      <c r="H1" s="438"/>
    </row>
    <row r="2" spans="1:8" ht="47.25" x14ac:dyDescent="0.25">
      <c r="A2" s="255" t="s">
        <v>206</v>
      </c>
      <c r="B2" s="256" t="s">
        <v>305</v>
      </c>
      <c r="C2" s="256" t="s">
        <v>306</v>
      </c>
      <c r="D2" s="256" t="s">
        <v>307</v>
      </c>
      <c r="E2" s="256" t="s">
        <v>308</v>
      </c>
      <c r="F2" s="256" t="s">
        <v>309</v>
      </c>
      <c r="G2" s="256" t="s">
        <v>310</v>
      </c>
      <c r="H2" s="256" t="s">
        <v>311</v>
      </c>
    </row>
    <row r="3" spans="1:8" ht="14.25" x14ac:dyDescent="0.2">
      <c r="A3" s="257" t="s">
        <v>285</v>
      </c>
      <c r="B3" s="14">
        <v>4</v>
      </c>
      <c r="C3" s="178">
        <v>9.01</v>
      </c>
      <c r="D3" s="178">
        <v>10.3</v>
      </c>
      <c r="E3" s="178">
        <v>7.05</v>
      </c>
      <c r="F3" s="178">
        <v>8.17</v>
      </c>
      <c r="G3" s="178">
        <f>SUM(C3:F3)/4</f>
        <v>8.6325000000000003</v>
      </c>
      <c r="H3" s="258">
        <f>G3*B3</f>
        <v>34.53</v>
      </c>
    </row>
    <row r="4" spans="1:8" ht="14.25" x14ac:dyDescent="0.2">
      <c r="A4" s="257" t="s">
        <v>286</v>
      </c>
      <c r="B4" s="14">
        <v>4</v>
      </c>
      <c r="C4" s="178">
        <v>6.12</v>
      </c>
      <c r="D4" s="178">
        <v>8.6</v>
      </c>
      <c r="E4" s="178">
        <v>11.42</v>
      </c>
      <c r="F4" s="178">
        <v>5.86</v>
      </c>
      <c r="G4" s="178">
        <f>SUM(C4:F4)/4</f>
        <v>8</v>
      </c>
      <c r="H4" s="258">
        <f t="shared" ref="H4:H21" si="0">G4*B4</f>
        <v>32</v>
      </c>
    </row>
    <row r="5" spans="1:8" ht="14.25" x14ac:dyDescent="0.2">
      <c r="A5" s="257" t="s">
        <v>287</v>
      </c>
      <c r="B5" s="14">
        <v>4</v>
      </c>
      <c r="C5" s="178">
        <v>7.67</v>
      </c>
      <c r="D5" s="178">
        <v>8.4499999999999993</v>
      </c>
      <c r="E5" s="178"/>
      <c r="F5" s="178"/>
      <c r="G5" s="178">
        <f>SUM(C5:D5)/2</f>
        <v>8.0599999999999987</v>
      </c>
      <c r="H5" s="258">
        <f t="shared" si="0"/>
        <v>32.239999999999995</v>
      </c>
    </row>
    <row r="6" spans="1:8" ht="42.75" x14ac:dyDescent="0.2">
      <c r="A6" s="259" t="s">
        <v>288</v>
      </c>
      <c r="B6" s="14">
        <v>4</v>
      </c>
      <c r="C6" s="178">
        <v>7.21</v>
      </c>
      <c r="D6" s="178">
        <v>7.9</v>
      </c>
      <c r="E6" s="178">
        <v>2.4</v>
      </c>
      <c r="F6" s="178">
        <v>3.88</v>
      </c>
      <c r="G6" s="178">
        <f>SUM(C6:F6)/4</f>
        <v>5.3474999999999993</v>
      </c>
      <c r="H6" s="258">
        <f t="shared" si="0"/>
        <v>21.389999999999997</v>
      </c>
    </row>
    <row r="7" spans="1:8" ht="14.25" x14ac:dyDescent="0.2">
      <c r="A7" s="257" t="s">
        <v>289</v>
      </c>
      <c r="B7" s="14">
        <v>4</v>
      </c>
      <c r="C7" s="178">
        <v>6.8</v>
      </c>
      <c r="D7" s="178">
        <v>10.87</v>
      </c>
      <c r="E7" s="178">
        <v>9.27</v>
      </c>
      <c r="F7" s="178">
        <v>12.95</v>
      </c>
      <c r="G7" s="178">
        <f>SUM(C7:F7)/4</f>
        <v>9.9725000000000001</v>
      </c>
      <c r="H7" s="258">
        <f t="shared" si="0"/>
        <v>39.89</v>
      </c>
    </row>
    <row r="8" spans="1:8" ht="28.5" x14ac:dyDescent="0.2">
      <c r="A8" s="259" t="s">
        <v>290</v>
      </c>
      <c r="B8" s="14">
        <v>4</v>
      </c>
      <c r="C8" s="178">
        <v>72.66</v>
      </c>
      <c r="D8" s="178">
        <v>74.88</v>
      </c>
      <c r="E8" s="178"/>
      <c r="F8" s="178"/>
      <c r="G8" s="178">
        <f>SUM(C8:D8)/2</f>
        <v>73.77</v>
      </c>
      <c r="H8" s="258">
        <f t="shared" si="0"/>
        <v>295.08</v>
      </c>
    </row>
    <row r="9" spans="1:8" ht="28.5" x14ac:dyDescent="0.2">
      <c r="A9" s="259" t="s">
        <v>291</v>
      </c>
      <c r="B9" s="14">
        <v>4</v>
      </c>
      <c r="C9" s="178">
        <v>2.04</v>
      </c>
      <c r="D9" s="178"/>
      <c r="E9" s="178">
        <v>2.4</v>
      </c>
      <c r="F9" s="178">
        <v>1.97</v>
      </c>
      <c r="G9" s="178">
        <f>SUM(C9:F9)/3</f>
        <v>2.1366666666666663</v>
      </c>
      <c r="H9" s="258">
        <f t="shared" si="0"/>
        <v>8.5466666666666651</v>
      </c>
    </row>
    <row r="10" spans="1:8" ht="57" x14ac:dyDescent="0.2">
      <c r="A10" s="259" t="s">
        <v>292</v>
      </c>
      <c r="B10" s="14">
        <v>4</v>
      </c>
      <c r="C10" s="178">
        <v>0.67</v>
      </c>
      <c r="D10" s="178">
        <v>0.9</v>
      </c>
      <c r="E10" s="178">
        <v>0.53</v>
      </c>
      <c r="F10" s="178">
        <v>1.25</v>
      </c>
      <c r="G10" s="178">
        <f>SUM(C10:F10)/4</f>
        <v>0.83750000000000002</v>
      </c>
      <c r="H10" s="258">
        <f t="shared" si="0"/>
        <v>3.35</v>
      </c>
    </row>
    <row r="11" spans="1:8" ht="14.25" x14ac:dyDescent="0.2">
      <c r="A11" s="257" t="s">
        <v>293</v>
      </c>
      <c r="B11" s="14">
        <v>4</v>
      </c>
      <c r="C11" s="178">
        <v>2.0699999999999998</v>
      </c>
      <c r="D11" s="178"/>
      <c r="E11" s="178">
        <v>2.02</v>
      </c>
      <c r="F11" s="178">
        <v>2.5499999999999998</v>
      </c>
      <c r="G11" s="178">
        <f>SUM(C11:F11)/3</f>
        <v>2.2133333333333334</v>
      </c>
      <c r="H11" s="258">
        <f t="shared" si="0"/>
        <v>8.8533333333333335</v>
      </c>
    </row>
    <row r="12" spans="1:8" ht="28.5" x14ac:dyDescent="0.2">
      <c r="A12" s="259" t="s">
        <v>294</v>
      </c>
      <c r="B12" s="14">
        <v>4</v>
      </c>
      <c r="C12" s="178">
        <v>2.1800000000000002</v>
      </c>
      <c r="D12" s="178"/>
      <c r="E12" s="178">
        <v>1.49</v>
      </c>
      <c r="F12" s="178">
        <v>1.99</v>
      </c>
      <c r="G12" s="178">
        <f t="shared" ref="G12:G14" si="1">SUM(C12:F12)/3</f>
        <v>1.8866666666666667</v>
      </c>
      <c r="H12" s="258">
        <f t="shared" si="0"/>
        <v>7.5466666666666669</v>
      </c>
    </row>
    <row r="13" spans="1:8" ht="14.25" x14ac:dyDescent="0.2">
      <c r="A13" s="257" t="s">
        <v>295</v>
      </c>
      <c r="B13" s="14">
        <v>4</v>
      </c>
      <c r="C13" s="178">
        <v>1.42</v>
      </c>
      <c r="D13" s="178">
        <v>3.65</v>
      </c>
      <c r="E13" s="178">
        <v>1.96</v>
      </c>
      <c r="F13" s="178"/>
      <c r="G13" s="178">
        <f t="shared" si="1"/>
        <v>2.3433333333333333</v>
      </c>
      <c r="H13" s="258">
        <f t="shared" si="0"/>
        <v>9.3733333333333331</v>
      </c>
    </row>
    <row r="14" spans="1:8" ht="28.5" x14ac:dyDescent="0.2">
      <c r="A14" s="259" t="s">
        <v>296</v>
      </c>
      <c r="B14" s="14">
        <v>4</v>
      </c>
      <c r="C14" s="178">
        <v>20.87</v>
      </c>
      <c r="D14" s="178"/>
      <c r="E14" s="178">
        <v>17.3</v>
      </c>
      <c r="F14" s="178">
        <v>19.809999999999999</v>
      </c>
      <c r="G14" s="178">
        <f t="shared" si="1"/>
        <v>19.326666666666668</v>
      </c>
      <c r="H14" s="258">
        <f t="shared" si="0"/>
        <v>77.306666666666672</v>
      </c>
    </row>
    <row r="15" spans="1:8" ht="42.75" x14ac:dyDescent="0.2">
      <c r="A15" s="259" t="s">
        <v>297</v>
      </c>
      <c r="B15" s="14">
        <v>4</v>
      </c>
      <c r="C15" s="178">
        <v>3.52</v>
      </c>
      <c r="D15" s="178"/>
      <c r="E15" s="178">
        <v>8.75</v>
      </c>
      <c r="F15" s="178"/>
      <c r="G15" s="178">
        <f>SUM(C15:F15)/2</f>
        <v>6.1349999999999998</v>
      </c>
      <c r="H15" s="258">
        <f t="shared" si="0"/>
        <v>24.54</v>
      </c>
    </row>
    <row r="16" spans="1:8" ht="42.75" x14ac:dyDescent="0.2">
      <c r="A16" s="259" t="s">
        <v>298</v>
      </c>
      <c r="B16" s="14">
        <v>4</v>
      </c>
      <c r="C16" s="178">
        <v>10.79</v>
      </c>
      <c r="D16" s="178">
        <v>18.600000000000001</v>
      </c>
      <c r="E16" s="178">
        <v>13.55</v>
      </c>
      <c r="F16" s="178">
        <v>11.38</v>
      </c>
      <c r="G16" s="178">
        <f>SUM(C16:F16)/4</f>
        <v>13.58</v>
      </c>
      <c r="H16" s="258">
        <f t="shared" si="0"/>
        <v>54.32</v>
      </c>
    </row>
    <row r="17" spans="1:8" ht="14.25" x14ac:dyDescent="0.2">
      <c r="A17" s="257" t="s">
        <v>299</v>
      </c>
      <c r="B17" s="14">
        <v>4</v>
      </c>
      <c r="C17" s="178">
        <v>3.06</v>
      </c>
      <c r="D17" s="178">
        <v>4</v>
      </c>
      <c r="E17" s="178"/>
      <c r="F17" s="178"/>
      <c r="G17" s="178">
        <f>SUM(C17:F17)/2</f>
        <v>3.5300000000000002</v>
      </c>
      <c r="H17" s="258">
        <f t="shared" si="0"/>
        <v>14.120000000000001</v>
      </c>
    </row>
    <row r="18" spans="1:8" ht="14.25" x14ac:dyDescent="0.2">
      <c r="A18" s="257" t="s">
        <v>300</v>
      </c>
      <c r="B18" s="14">
        <v>4</v>
      </c>
      <c r="C18" s="178">
        <v>6.15</v>
      </c>
      <c r="D18" s="178"/>
      <c r="E18" s="178">
        <v>4.42</v>
      </c>
      <c r="F18" s="178"/>
      <c r="G18" s="178">
        <f>SUM(C18:F18)/2</f>
        <v>5.2850000000000001</v>
      </c>
      <c r="H18" s="258">
        <f t="shared" si="0"/>
        <v>21.14</v>
      </c>
    </row>
    <row r="19" spans="1:8" ht="14.25" x14ac:dyDescent="0.2">
      <c r="A19" s="257" t="s">
        <v>301</v>
      </c>
      <c r="B19" s="14">
        <v>4</v>
      </c>
      <c r="C19" s="178">
        <v>3.41</v>
      </c>
      <c r="D19" s="178"/>
      <c r="E19" s="178">
        <v>9.49</v>
      </c>
      <c r="F19" s="178">
        <v>11.2</v>
      </c>
      <c r="G19" s="178">
        <f>SUM(C19:F19)/3</f>
        <v>8.0333333333333332</v>
      </c>
      <c r="H19" s="258">
        <f t="shared" si="0"/>
        <v>32.133333333333333</v>
      </c>
    </row>
    <row r="20" spans="1:8" ht="28.5" x14ac:dyDescent="0.2">
      <c r="A20" s="259" t="s">
        <v>302</v>
      </c>
      <c r="B20" s="14">
        <v>4</v>
      </c>
      <c r="C20" s="178">
        <v>3.54</v>
      </c>
      <c r="D20" s="178">
        <v>5.25</v>
      </c>
      <c r="E20" s="178">
        <v>4.16</v>
      </c>
      <c r="F20" s="178">
        <v>3.54</v>
      </c>
      <c r="G20" s="178">
        <f>SUM(C20:F20)/4</f>
        <v>4.1224999999999996</v>
      </c>
      <c r="H20" s="258">
        <f t="shared" si="0"/>
        <v>16.489999999999998</v>
      </c>
    </row>
    <row r="21" spans="1:8" ht="14.25" x14ac:dyDescent="0.2">
      <c r="A21" s="257" t="s">
        <v>304</v>
      </c>
      <c r="B21" s="14">
        <v>4</v>
      </c>
      <c r="C21" s="178"/>
      <c r="D21" s="178"/>
      <c r="E21" s="178">
        <v>12.88</v>
      </c>
      <c r="F21" s="178">
        <v>2.0499999999999998</v>
      </c>
      <c r="G21" s="178">
        <f>SUM(C21:F21)/2</f>
        <v>7.4649999999999999</v>
      </c>
      <c r="H21" s="258">
        <f t="shared" si="0"/>
        <v>29.86</v>
      </c>
    </row>
    <row r="22" spans="1:8" ht="15.75" x14ac:dyDescent="0.25">
      <c r="A22" s="14"/>
      <c r="B22" s="14"/>
      <c r="C22" s="14"/>
      <c r="D22" s="14"/>
      <c r="E22" s="14"/>
      <c r="F22" s="14"/>
      <c r="G22" s="260" t="s">
        <v>311</v>
      </c>
      <c r="H22" s="261">
        <f>SUM(H3:H21)</f>
        <v>762.71000000000015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sqref="A1:C41"/>
    </sheetView>
  </sheetViews>
  <sheetFormatPr defaultRowHeight="12.75" x14ac:dyDescent="0.2"/>
  <cols>
    <col min="2" max="2" width="19.28515625" customWidth="1"/>
    <col min="3" max="3" width="198.7109375" customWidth="1"/>
  </cols>
  <sheetData>
    <row r="1" spans="1:3" x14ac:dyDescent="0.2">
      <c r="A1" s="454" t="s">
        <v>190</v>
      </c>
      <c r="B1" s="455"/>
      <c r="C1" s="456"/>
    </row>
    <row r="2" spans="1:3" x14ac:dyDescent="0.2">
      <c r="A2" s="453" t="s">
        <v>173</v>
      </c>
      <c r="B2" s="434"/>
      <c r="C2" s="230" t="s">
        <v>174</v>
      </c>
    </row>
    <row r="3" spans="1:3" x14ac:dyDescent="0.2">
      <c r="A3" s="453" t="s">
        <v>175</v>
      </c>
      <c r="B3" s="434"/>
      <c r="C3" s="230" t="s">
        <v>176</v>
      </c>
    </row>
    <row r="4" spans="1:3" x14ac:dyDescent="0.2">
      <c r="A4" s="231"/>
      <c r="B4" s="14"/>
      <c r="C4" s="232"/>
    </row>
    <row r="5" spans="1:3" x14ac:dyDescent="0.2">
      <c r="A5" s="446" t="s">
        <v>312</v>
      </c>
      <c r="B5" s="447"/>
      <c r="C5" s="448"/>
    </row>
    <row r="6" spans="1:3" x14ac:dyDescent="0.2">
      <c r="A6" s="451" t="s">
        <v>173</v>
      </c>
      <c r="B6" s="452"/>
      <c r="C6" s="230" t="s">
        <v>313</v>
      </c>
    </row>
    <row r="7" spans="1:3" x14ac:dyDescent="0.2">
      <c r="A7" s="451" t="s">
        <v>175</v>
      </c>
      <c r="B7" s="434"/>
      <c r="C7" s="230" t="s">
        <v>313</v>
      </c>
    </row>
    <row r="8" spans="1:3" x14ac:dyDescent="0.2">
      <c r="A8" s="231"/>
      <c r="B8" s="14"/>
      <c r="C8" s="232"/>
    </row>
    <row r="9" spans="1:3" x14ac:dyDescent="0.2">
      <c r="A9" s="444" t="s">
        <v>201</v>
      </c>
      <c r="B9" s="429"/>
      <c r="C9" s="445"/>
    </row>
    <row r="10" spans="1:3" x14ac:dyDescent="0.2">
      <c r="A10" s="453" t="s">
        <v>173</v>
      </c>
      <c r="B10" s="434"/>
      <c r="C10" s="230" t="s">
        <v>176</v>
      </c>
    </row>
    <row r="11" spans="1:3" x14ac:dyDescent="0.2">
      <c r="A11" s="453" t="s">
        <v>175</v>
      </c>
      <c r="B11" s="434"/>
      <c r="C11" s="230" t="s">
        <v>176</v>
      </c>
    </row>
    <row r="12" spans="1:3" x14ac:dyDescent="0.2">
      <c r="A12" s="231"/>
      <c r="B12" s="14"/>
      <c r="C12" s="232"/>
    </row>
    <row r="13" spans="1:3" x14ac:dyDescent="0.2">
      <c r="A13" s="444" t="s">
        <v>117</v>
      </c>
      <c r="B13" s="429"/>
      <c r="C13" s="445"/>
    </row>
    <row r="14" spans="1:3" x14ac:dyDescent="0.2">
      <c r="A14" s="453" t="s">
        <v>173</v>
      </c>
      <c r="B14" s="434"/>
      <c r="C14" s="230" t="s">
        <v>202</v>
      </c>
    </row>
    <row r="15" spans="1:3" x14ac:dyDescent="0.2">
      <c r="A15" s="453" t="s">
        <v>175</v>
      </c>
      <c r="B15" s="434"/>
      <c r="C15" s="230" t="s">
        <v>202</v>
      </c>
    </row>
    <row r="16" spans="1:3" x14ac:dyDescent="0.2">
      <c r="A16" s="231"/>
      <c r="B16" s="14"/>
      <c r="C16" s="232"/>
    </row>
    <row r="17" spans="1:3" x14ac:dyDescent="0.2">
      <c r="A17" s="446" t="s">
        <v>41</v>
      </c>
      <c r="B17" s="447"/>
      <c r="C17" s="448"/>
    </row>
    <row r="18" spans="1:3" x14ac:dyDescent="0.2">
      <c r="A18" s="231"/>
      <c r="B18" s="14"/>
      <c r="C18" s="230" t="s">
        <v>187</v>
      </c>
    </row>
    <row r="19" spans="1:3" x14ac:dyDescent="0.2">
      <c r="A19" s="231"/>
      <c r="B19" s="14"/>
      <c r="C19" s="232"/>
    </row>
    <row r="20" spans="1:3" x14ac:dyDescent="0.2">
      <c r="A20" s="446" t="s">
        <v>167</v>
      </c>
      <c r="B20" s="447"/>
      <c r="C20" s="448"/>
    </row>
    <row r="21" spans="1:3" ht="25.5" x14ac:dyDescent="0.2">
      <c r="A21" s="231"/>
      <c r="B21" s="14"/>
      <c r="C21" s="233" t="s">
        <v>314</v>
      </c>
    </row>
    <row r="22" spans="1:3" x14ac:dyDescent="0.2">
      <c r="A22" s="231"/>
      <c r="B22" s="14"/>
      <c r="C22" s="232"/>
    </row>
    <row r="23" spans="1:3" x14ac:dyDescent="0.2">
      <c r="A23" s="444" t="s">
        <v>193</v>
      </c>
      <c r="B23" s="429"/>
      <c r="C23" s="445"/>
    </row>
    <row r="24" spans="1:3" x14ac:dyDescent="0.2">
      <c r="A24" s="453" t="s">
        <v>194</v>
      </c>
      <c r="B24" s="434"/>
      <c r="C24" s="230" t="s">
        <v>195</v>
      </c>
    </row>
    <row r="25" spans="1:3" ht="51" customHeight="1" x14ac:dyDescent="0.2">
      <c r="A25" s="449" t="s">
        <v>210</v>
      </c>
      <c r="B25" s="450"/>
      <c r="C25" s="234" t="s">
        <v>321</v>
      </c>
    </row>
    <row r="26" spans="1:3" ht="33.75" customHeight="1" x14ac:dyDescent="0.2">
      <c r="A26" s="449" t="s">
        <v>215</v>
      </c>
      <c r="B26" s="450"/>
      <c r="C26" s="234" t="s">
        <v>321</v>
      </c>
    </row>
    <row r="27" spans="1:3" x14ac:dyDescent="0.2">
      <c r="A27" s="451" t="s">
        <v>217</v>
      </c>
      <c r="B27" s="452"/>
      <c r="C27" s="234" t="s">
        <v>321</v>
      </c>
    </row>
    <row r="28" spans="1:3" ht="33.75" customHeight="1" x14ac:dyDescent="0.2">
      <c r="A28" s="439" t="s">
        <v>218</v>
      </c>
      <c r="B28" s="440"/>
      <c r="C28" s="234" t="s">
        <v>321</v>
      </c>
    </row>
    <row r="29" spans="1:3" ht="30.75" customHeight="1" x14ac:dyDescent="0.2">
      <c r="A29" s="439" t="s">
        <v>219</v>
      </c>
      <c r="B29" s="440"/>
      <c r="C29" s="234" t="s">
        <v>321</v>
      </c>
    </row>
    <row r="30" spans="1:3" ht="18" customHeight="1" x14ac:dyDescent="0.2">
      <c r="A30" s="235"/>
      <c r="B30" s="229"/>
      <c r="C30" s="234"/>
    </row>
    <row r="31" spans="1:3" ht="15.75" customHeight="1" x14ac:dyDescent="0.2">
      <c r="A31" s="441" t="s">
        <v>277</v>
      </c>
      <c r="B31" s="442"/>
      <c r="C31" s="443"/>
    </row>
    <row r="32" spans="1:3" ht="39.75" customHeight="1" x14ac:dyDescent="0.2">
      <c r="A32" s="235"/>
      <c r="B32" s="229"/>
      <c r="C32" s="230" t="s">
        <v>211</v>
      </c>
    </row>
    <row r="33" spans="1:4" x14ac:dyDescent="0.2">
      <c r="A33" s="231"/>
      <c r="B33" s="14"/>
      <c r="C33" s="232" t="s">
        <v>212</v>
      </c>
    </row>
    <row r="34" spans="1:4" x14ac:dyDescent="0.2">
      <c r="A34" s="231"/>
      <c r="B34" s="14"/>
      <c r="C34" s="232"/>
    </row>
    <row r="35" spans="1:4" x14ac:dyDescent="0.2">
      <c r="A35" s="444" t="s">
        <v>177</v>
      </c>
      <c r="B35" s="429"/>
      <c r="C35" s="445"/>
      <c r="D35" s="1"/>
    </row>
    <row r="36" spans="1:4" x14ac:dyDescent="0.2">
      <c r="A36" s="453"/>
      <c r="B36" s="434"/>
      <c r="C36" s="230" t="s">
        <v>178</v>
      </c>
    </row>
    <row r="37" spans="1:4" x14ac:dyDescent="0.2">
      <c r="A37" s="231"/>
      <c r="B37" s="14"/>
      <c r="C37" s="230" t="s">
        <v>187</v>
      </c>
    </row>
    <row r="38" spans="1:4" x14ac:dyDescent="0.2">
      <c r="A38" s="231"/>
      <c r="B38" s="14"/>
      <c r="C38" s="232"/>
    </row>
    <row r="39" spans="1:4" x14ac:dyDescent="0.2">
      <c r="A39" s="446" t="s">
        <v>316</v>
      </c>
      <c r="B39" s="447"/>
      <c r="C39" s="448"/>
    </row>
    <row r="40" spans="1:4" x14ac:dyDescent="0.2">
      <c r="A40" s="231"/>
      <c r="B40" s="14"/>
      <c r="C40" s="230" t="s">
        <v>317</v>
      </c>
    </row>
    <row r="41" spans="1:4" ht="13.5" thickBot="1" x14ac:dyDescent="0.25">
      <c r="A41" s="236"/>
      <c r="B41" s="237"/>
      <c r="C41" s="238"/>
    </row>
  </sheetData>
  <mergeCells count="25">
    <mergeCell ref="A2:B2"/>
    <mergeCell ref="A3:B3"/>
    <mergeCell ref="A36:B36"/>
    <mergeCell ref="A1:C1"/>
    <mergeCell ref="A23:C23"/>
    <mergeCell ref="A24:B24"/>
    <mergeCell ref="A25:B25"/>
    <mergeCell ref="A9:C9"/>
    <mergeCell ref="A10:B10"/>
    <mergeCell ref="A11:B11"/>
    <mergeCell ref="A13:C13"/>
    <mergeCell ref="A14:B14"/>
    <mergeCell ref="A15:B15"/>
    <mergeCell ref="A7:B7"/>
    <mergeCell ref="A6:B6"/>
    <mergeCell ref="A5:C5"/>
    <mergeCell ref="A29:B29"/>
    <mergeCell ref="A31:C31"/>
    <mergeCell ref="A35:C35"/>
    <mergeCell ref="A39:C39"/>
    <mergeCell ref="A17:C17"/>
    <mergeCell ref="A20:C20"/>
    <mergeCell ref="A26:B26"/>
    <mergeCell ref="A27:B27"/>
    <mergeCell ref="A28:B28"/>
  </mergeCells>
  <hyperlinks>
    <hyperlink ref="C2" r:id="rId1"/>
    <hyperlink ref="C3" r:id="rId2"/>
    <hyperlink ref="C36" r:id="rId3"/>
    <hyperlink ref="C37" r:id="rId4"/>
    <hyperlink ref="C24" r:id="rId5"/>
    <hyperlink ref="C10" r:id="rId6"/>
    <hyperlink ref="C11" r:id="rId7"/>
    <hyperlink ref="C14" r:id="rId8"/>
    <hyperlink ref="C6" r:id="rId9"/>
    <hyperlink ref="C7" r:id="rId10"/>
    <hyperlink ref="C15" r:id="rId11"/>
    <hyperlink ref="C21" r:id="rId12"/>
    <hyperlink ref="C40" r:id="rId13"/>
    <hyperlink ref="C18" r:id="rId14"/>
    <hyperlink ref="C32" r:id="rId15"/>
  </hyperlinks>
  <pageMargins left="0.511811024" right="0.511811024" top="0.78740157499999996" bottom="0.78740157499999996" header="0.31496062000000002" footer="0.31496062000000002"/>
  <pageSetup paperSize="9" scale="61" fitToHeight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4" workbookViewId="0">
      <selection activeCell="C16" sqref="C16"/>
    </sheetView>
  </sheetViews>
  <sheetFormatPr defaultRowHeight="12.75" x14ac:dyDescent="0.2"/>
  <cols>
    <col min="1" max="1" width="26.5703125" customWidth="1"/>
    <col min="3" max="3" width="34.28515625" customWidth="1"/>
    <col min="4" max="4" width="39.28515625" customWidth="1"/>
    <col min="6" max="6" width="12.7109375" customWidth="1"/>
  </cols>
  <sheetData>
    <row r="1" spans="1:6" ht="15" x14ac:dyDescent="0.2">
      <c r="A1" s="18"/>
      <c r="B1" s="19"/>
      <c r="C1" s="19"/>
      <c r="D1" s="20"/>
      <c r="E1" s="20"/>
      <c r="F1" s="18"/>
    </row>
    <row r="2" spans="1:6" ht="15" x14ac:dyDescent="0.2">
      <c r="A2" s="379" t="s">
        <v>109</v>
      </c>
      <c r="B2" s="379"/>
      <c r="C2" s="379"/>
      <c r="D2" s="379"/>
      <c r="E2" s="21"/>
      <c r="F2" s="21"/>
    </row>
    <row r="3" spans="1:6" ht="15" x14ac:dyDescent="0.2">
      <c r="A3" s="18"/>
      <c r="B3" s="19"/>
      <c r="C3" s="19"/>
      <c r="D3" s="22"/>
      <c r="E3" s="22"/>
      <c r="F3" s="18"/>
    </row>
    <row r="4" spans="1:6" ht="15" x14ac:dyDescent="0.2">
      <c r="A4" s="380" t="s">
        <v>111</v>
      </c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15" x14ac:dyDescent="0.2">
      <c r="A9" s="380"/>
      <c r="B9" s="380"/>
      <c r="C9" s="380"/>
      <c r="D9" s="380"/>
      <c r="E9" s="22"/>
      <c r="F9" s="18"/>
    </row>
    <row r="10" spans="1:6" ht="15" x14ac:dyDescent="0.2">
      <c r="A10" s="18"/>
      <c r="B10" s="19"/>
      <c r="C10" s="19"/>
      <c r="D10" s="22"/>
      <c r="E10" s="22"/>
      <c r="F10" s="18"/>
    </row>
    <row r="11" spans="1:6" ht="15.75" thickBot="1" x14ac:dyDescent="0.25">
      <c r="A11" s="23" t="s">
        <v>21</v>
      </c>
      <c r="B11" s="20"/>
      <c r="C11" s="20"/>
      <c r="D11" s="24">
        <v>46008</v>
      </c>
      <c r="E11" s="18"/>
      <c r="F11" s="18"/>
    </row>
    <row r="12" spans="1:6" ht="15" x14ac:dyDescent="0.2">
      <c r="A12" s="25" t="s">
        <v>22</v>
      </c>
      <c r="B12" s="381" t="s">
        <v>23</v>
      </c>
      <c r="C12" s="381"/>
      <c r="D12" s="26" t="s">
        <v>24</v>
      </c>
      <c r="E12" s="18"/>
      <c r="F12" s="18"/>
    </row>
    <row r="13" spans="1:6" ht="15" x14ac:dyDescent="0.2">
      <c r="A13" s="27" t="s">
        <v>25</v>
      </c>
      <c r="B13" s="222">
        <f>D30</f>
        <v>3316.0462411999997</v>
      </c>
      <c r="C13" s="223"/>
      <c r="D13" s="28">
        <f>+B13/D$51</f>
        <v>0.77294092473784715</v>
      </c>
      <c r="E13" s="18"/>
      <c r="F13" s="18"/>
    </row>
    <row r="14" spans="1:6" ht="15" x14ac:dyDescent="0.2">
      <c r="A14" s="27" t="s">
        <v>26</v>
      </c>
      <c r="B14" s="222">
        <f>E42</f>
        <v>195.01666666666665</v>
      </c>
      <c r="C14" s="223"/>
      <c r="D14" s="28">
        <f>+B14/D$51</f>
        <v>4.5456652805323322E-2</v>
      </c>
      <c r="E14" s="18"/>
      <c r="F14" s="18"/>
    </row>
    <row r="15" spans="1:6" ht="15.75" thickBot="1" x14ac:dyDescent="0.25">
      <c r="A15" s="29" t="s">
        <v>27</v>
      </c>
      <c r="B15" s="222">
        <f>D49</f>
        <v>779.10485925561329</v>
      </c>
      <c r="C15" s="223"/>
      <c r="D15" s="28">
        <f>+B15/D$51</f>
        <v>0.18160242245682953</v>
      </c>
      <c r="E15" s="18"/>
      <c r="F15" s="18"/>
    </row>
    <row r="16" spans="1:6" ht="15.75" thickBot="1" x14ac:dyDescent="0.25">
      <c r="A16" s="30" t="s">
        <v>110</v>
      </c>
      <c r="B16" s="224">
        <f>SUM(B13:C15)</f>
        <v>4290.1677671222797</v>
      </c>
      <c r="C16" s="225"/>
      <c r="D16" s="31">
        <f>SUM(D13:D15)</f>
        <v>1</v>
      </c>
      <c r="E16" s="18"/>
      <c r="F16" s="18"/>
    </row>
    <row r="17" spans="1:7" ht="13.5" thickBot="1" x14ac:dyDescent="0.25">
      <c r="A17" s="32"/>
      <c r="B17" s="32"/>
      <c r="C17" s="32"/>
      <c r="D17" s="33"/>
      <c r="E17" s="33"/>
      <c r="F17" s="32"/>
    </row>
    <row r="18" spans="1:7" ht="13.5" thickBot="1" x14ac:dyDescent="0.25">
      <c r="A18" s="382" t="s">
        <v>28</v>
      </c>
      <c r="B18" s="383"/>
      <c r="C18" s="383"/>
      <c r="D18" s="34">
        <f>B16/220</f>
        <v>19.500762577828542</v>
      </c>
      <c r="E18" s="33"/>
      <c r="F18" s="32"/>
    </row>
    <row r="19" spans="1:7" x14ac:dyDescent="0.2">
      <c r="A19" s="32"/>
      <c r="B19" s="32"/>
      <c r="C19" s="32"/>
      <c r="D19" s="33"/>
      <c r="E19" s="33"/>
      <c r="F19" s="32"/>
    </row>
    <row r="20" spans="1:7" ht="15.75" thickBot="1" x14ac:dyDescent="0.25">
      <c r="A20" s="23" t="s">
        <v>29</v>
      </c>
      <c r="B20" s="33"/>
      <c r="C20" s="33"/>
      <c r="D20" s="33"/>
      <c r="E20" s="33"/>
      <c r="F20" s="18"/>
    </row>
    <row r="21" spans="1:7" ht="15" x14ac:dyDescent="0.2">
      <c r="A21" s="384" t="s">
        <v>30</v>
      </c>
      <c r="B21" s="385"/>
      <c r="C21" s="386"/>
      <c r="D21" s="35" t="s">
        <v>31</v>
      </c>
      <c r="E21" s="18"/>
      <c r="F21" s="18"/>
    </row>
    <row r="22" spans="1:7" ht="15.75" thickBot="1" x14ac:dyDescent="0.25">
      <c r="A22" s="387" t="s">
        <v>108</v>
      </c>
      <c r="B22" s="388"/>
      <c r="C22" s="389"/>
      <c r="D22" s="36">
        <v>1</v>
      </c>
      <c r="E22" s="18"/>
      <c r="F22" s="18"/>
    </row>
    <row r="23" spans="1:7" ht="15" x14ac:dyDescent="0.2">
      <c r="A23" s="37"/>
      <c r="B23" s="37"/>
      <c r="C23" s="37"/>
      <c r="D23" s="32"/>
      <c r="E23" s="32"/>
      <c r="F23" s="18"/>
    </row>
    <row r="24" spans="1:7" x14ac:dyDescent="0.2">
      <c r="A24" s="38" t="s">
        <v>32</v>
      </c>
      <c r="B24" s="32"/>
      <c r="C24" s="32"/>
      <c r="D24" s="33"/>
      <c r="E24" s="33"/>
      <c r="F24" s="32"/>
    </row>
    <row r="25" spans="1:7" ht="13.5" thickBot="1" x14ac:dyDescent="0.25">
      <c r="A25" s="32"/>
      <c r="B25" s="32"/>
      <c r="C25" s="32"/>
      <c r="D25" s="33"/>
      <c r="E25" s="33"/>
      <c r="F25" s="32"/>
    </row>
    <row r="26" spans="1:7" x14ac:dyDescent="0.2">
      <c r="A26" s="39" t="s">
        <v>33</v>
      </c>
      <c r="B26" s="40" t="s">
        <v>34</v>
      </c>
      <c r="C26" s="40" t="s">
        <v>31</v>
      </c>
      <c r="D26" s="41" t="s">
        <v>35</v>
      </c>
      <c r="E26" s="32"/>
      <c r="F26" s="32"/>
    </row>
    <row r="27" spans="1:7" x14ac:dyDescent="0.2">
      <c r="A27" s="101" t="s">
        <v>36</v>
      </c>
      <c r="B27" s="43" t="s">
        <v>37</v>
      </c>
      <c r="C27" s="43">
        <v>1</v>
      </c>
      <c r="D27" s="44">
        <v>1395.02</v>
      </c>
      <c r="E27" s="102" t="s">
        <v>188</v>
      </c>
      <c r="F27" s="102"/>
      <c r="G27" t="s">
        <v>189</v>
      </c>
    </row>
    <row r="28" spans="1:7" ht="15" x14ac:dyDescent="0.2">
      <c r="A28" s="45" t="s">
        <v>38</v>
      </c>
      <c r="B28" s="46" t="s">
        <v>24</v>
      </c>
      <c r="C28" s="46">
        <v>40</v>
      </c>
      <c r="D28" s="44">
        <f>(C28/100)*D27</f>
        <v>558.00800000000004</v>
      </c>
      <c r="E28" s="32"/>
      <c r="F28" s="32"/>
    </row>
    <row r="29" spans="1:7" x14ac:dyDescent="0.2">
      <c r="A29" s="42" t="s">
        <v>39</v>
      </c>
      <c r="B29" s="43" t="s">
        <v>24</v>
      </c>
      <c r="C29" s="47">
        <f>B89</f>
        <v>0.69789999999999996</v>
      </c>
      <c r="D29" s="44">
        <f>0.6979*(D27+D28)</f>
        <v>1363.0182411999999</v>
      </c>
      <c r="E29" s="32"/>
      <c r="F29" s="32"/>
    </row>
    <row r="30" spans="1:7" ht="13.5" thickBot="1" x14ac:dyDescent="0.25">
      <c r="A30" s="377" t="s">
        <v>44</v>
      </c>
      <c r="B30" s="378"/>
      <c r="C30" s="378"/>
      <c r="D30" s="50">
        <f>SUM(D27:D29)</f>
        <v>3316.0462411999997</v>
      </c>
      <c r="E30" s="32"/>
      <c r="F30" s="32"/>
    </row>
    <row r="31" spans="1:7" x14ac:dyDescent="0.2">
      <c r="A31" s="32"/>
      <c r="B31" s="32"/>
      <c r="C31" s="32"/>
      <c r="D31" s="33"/>
      <c r="E31" s="33"/>
      <c r="F31" s="32"/>
    </row>
    <row r="32" spans="1:7" x14ac:dyDescent="0.2">
      <c r="A32" s="38" t="s">
        <v>45</v>
      </c>
      <c r="B32" s="32"/>
      <c r="C32" s="32"/>
      <c r="D32" s="33"/>
      <c r="E32" s="33"/>
      <c r="F32" s="32"/>
    </row>
    <row r="33" spans="1:8" ht="13.5" thickBot="1" x14ac:dyDescent="0.25">
      <c r="A33" s="32"/>
      <c r="B33" s="32"/>
      <c r="C33" s="32"/>
      <c r="D33" s="33"/>
      <c r="E33" s="33"/>
      <c r="F33" s="32"/>
    </row>
    <row r="34" spans="1:8" x14ac:dyDescent="0.2">
      <c r="A34" s="39" t="s">
        <v>33</v>
      </c>
      <c r="B34" s="40" t="s">
        <v>34</v>
      </c>
      <c r="C34" s="40" t="s">
        <v>31</v>
      </c>
      <c r="D34" s="41" t="s">
        <v>46</v>
      </c>
      <c r="E34" s="41" t="s">
        <v>47</v>
      </c>
      <c r="F34" s="41" t="s">
        <v>48</v>
      </c>
      <c r="G34" s="41" t="s">
        <v>49</v>
      </c>
      <c r="H34" s="41" t="s">
        <v>50</v>
      </c>
    </row>
    <row r="35" spans="1:8" ht="25.5" x14ac:dyDescent="0.2">
      <c r="A35" s="168" t="s">
        <v>181</v>
      </c>
      <c r="B35" s="110" t="s">
        <v>51</v>
      </c>
      <c r="C35" s="171">
        <v>132</v>
      </c>
      <c r="D35" s="51">
        <f>C35*F35</f>
        <v>1729.2</v>
      </c>
      <c r="E35" s="172">
        <f>D35/12</f>
        <v>144.1</v>
      </c>
      <c r="F35" s="172">
        <v>13.1</v>
      </c>
      <c r="G35" s="54">
        <v>1</v>
      </c>
      <c r="H35" s="14">
        <v>360</v>
      </c>
    </row>
    <row r="36" spans="1:8" ht="45" x14ac:dyDescent="0.2">
      <c r="A36" s="169" t="s">
        <v>182</v>
      </c>
      <c r="B36" s="110" t="s">
        <v>183</v>
      </c>
      <c r="C36" s="46">
        <v>7</v>
      </c>
      <c r="D36" s="51">
        <f t="shared" ref="D36:D41" si="0">C36*F36</f>
        <v>184.79999999999998</v>
      </c>
      <c r="E36" s="52">
        <f t="shared" ref="E36:E41" si="1">D36/12</f>
        <v>15.399999999999999</v>
      </c>
      <c r="F36" s="53">
        <v>26.4</v>
      </c>
      <c r="G36" s="54">
        <v>1</v>
      </c>
      <c r="H36" s="14">
        <v>60</v>
      </c>
    </row>
    <row r="37" spans="1:8" ht="15" x14ac:dyDescent="0.2">
      <c r="A37" s="101" t="s">
        <v>184</v>
      </c>
      <c r="B37" s="110" t="s">
        <v>52</v>
      </c>
      <c r="C37" s="46">
        <v>4</v>
      </c>
      <c r="D37" s="51">
        <f t="shared" si="0"/>
        <v>178.16</v>
      </c>
      <c r="E37" s="52">
        <f t="shared" si="1"/>
        <v>14.846666666666666</v>
      </c>
      <c r="F37" s="53">
        <v>44.54</v>
      </c>
      <c r="G37" s="54">
        <v>1</v>
      </c>
      <c r="H37" s="14">
        <v>90</v>
      </c>
    </row>
    <row r="38" spans="1:8" ht="15" x14ac:dyDescent="0.2">
      <c r="A38" s="107" t="s">
        <v>54</v>
      </c>
      <c r="B38" s="110" t="s">
        <v>51</v>
      </c>
      <c r="C38" s="110">
        <v>6</v>
      </c>
      <c r="D38" s="51">
        <f t="shared" si="0"/>
        <v>14.16</v>
      </c>
      <c r="E38" s="52">
        <f t="shared" si="1"/>
        <v>1.18</v>
      </c>
      <c r="F38" s="53">
        <v>2.36</v>
      </c>
      <c r="G38" s="54">
        <v>0.5</v>
      </c>
      <c r="H38" s="14">
        <v>60</v>
      </c>
    </row>
    <row r="39" spans="1:8" ht="15" x14ac:dyDescent="0.2">
      <c r="A39" s="170" t="s">
        <v>56</v>
      </c>
      <c r="B39" s="48" t="s">
        <v>51</v>
      </c>
      <c r="C39" s="48">
        <v>73</v>
      </c>
      <c r="D39" s="51">
        <f t="shared" si="0"/>
        <v>128.47999999999999</v>
      </c>
      <c r="E39" s="52">
        <f t="shared" si="1"/>
        <v>10.706666666666665</v>
      </c>
      <c r="F39" s="53">
        <v>1.76</v>
      </c>
      <c r="G39" s="54">
        <v>0.3</v>
      </c>
      <c r="H39" s="14">
        <v>20</v>
      </c>
    </row>
    <row r="40" spans="1:8" ht="15" x14ac:dyDescent="0.2">
      <c r="A40" s="170" t="s">
        <v>57</v>
      </c>
      <c r="B40" s="48" t="s">
        <v>51</v>
      </c>
      <c r="C40" s="48">
        <v>2</v>
      </c>
      <c r="D40" s="51">
        <f t="shared" si="0"/>
        <v>40.9</v>
      </c>
      <c r="E40" s="52">
        <f t="shared" si="1"/>
        <v>3.4083333333333332</v>
      </c>
      <c r="F40" s="53">
        <v>20.45</v>
      </c>
      <c r="G40" s="54">
        <v>0.5</v>
      </c>
      <c r="H40" s="14">
        <v>130</v>
      </c>
    </row>
    <row r="41" spans="1:8" ht="15" x14ac:dyDescent="0.2">
      <c r="A41" s="170" t="s">
        <v>58</v>
      </c>
      <c r="B41" s="48" t="s">
        <v>51</v>
      </c>
      <c r="C41" s="48">
        <v>2</v>
      </c>
      <c r="D41" s="51">
        <f t="shared" si="0"/>
        <v>64.5</v>
      </c>
      <c r="E41" s="52">
        <f t="shared" si="1"/>
        <v>5.375</v>
      </c>
      <c r="F41" s="53">
        <v>32.25</v>
      </c>
      <c r="G41" s="54">
        <v>0.2</v>
      </c>
      <c r="H41" s="14">
        <v>1</v>
      </c>
    </row>
    <row r="42" spans="1:8" ht="13.5" thickBot="1" x14ac:dyDescent="0.25">
      <c r="A42" s="377" t="s">
        <v>60</v>
      </c>
      <c r="B42" s="378"/>
      <c r="C42" s="378"/>
      <c r="D42" s="55">
        <f>SUM(D35:D41)</f>
        <v>2340.1999999999998</v>
      </c>
      <c r="E42" s="55">
        <f t="shared" ref="E42" si="2">D42/12</f>
        <v>195.01666666666665</v>
      </c>
      <c r="F42" s="56"/>
    </row>
    <row r="43" spans="1:8" ht="13.5" thickBot="1" x14ac:dyDescent="0.25">
      <c r="A43" s="32"/>
      <c r="B43" s="32"/>
      <c r="C43" s="32"/>
      <c r="D43" s="33"/>
      <c r="E43" s="33"/>
      <c r="F43" s="32"/>
    </row>
    <row r="44" spans="1:8" ht="13.5" thickBot="1" x14ac:dyDescent="0.25">
      <c r="A44" s="57" t="s">
        <v>61</v>
      </c>
      <c r="B44" s="58"/>
      <c r="C44" s="58"/>
      <c r="D44" s="59">
        <f>D30+E42</f>
        <v>3511.0629078666661</v>
      </c>
      <c r="E44" s="32"/>
      <c r="F44" s="32"/>
    </row>
    <row r="45" spans="1:8" x14ac:dyDescent="0.2">
      <c r="A45" s="32"/>
      <c r="B45" s="32"/>
      <c r="C45" s="32"/>
      <c r="D45" s="33"/>
      <c r="E45" s="32"/>
      <c r="F45" s="32"/>
    </row>
    <row r="46" spans="1:8" x14ac:dyDescent="0.2">
      <c r="A46" s="38" t="s">
        <v>62</v>
      </c>
      <c r="B46" s="32"/>
      <c r="C46" s="32"/>
      <c r="D46" s="33"/>
      <c r="E46" s="32"/>
      <c r="F46" s="32"/>
    </row>
    <row r="47" spans="1:8" ht="13.5" thickBot="1" x14ac:dyDescent="0.25">
      <c r="A47" s="32"/>
      <c r="B47" s="32"/>
      <c r="C47" s="32"/>
      <c r="D47" s="33"/>
      <c r="E47" s="32"/>
      <c r="F47" s="32"/>
    </row>
    <row r="48" spans="1:8" x14ac:dyDescent="0.2">
      <c r="A48" s="39" t="s">
        <v>33</v>
      </c>
      <c r="B48" s="40" t="s">
        <v>34</v>
      </c>
      <c r="C48" s="40" t="s">
        <v>31</v>
      </c>
      <c r="D48" s="41" t="s">
        <v>35</v>
      </c>
      <c r="E48" s="32"/>
      <c r="F48" s="32"/>
    </row>
    <row r="49" spans="1:6" ht="13.5" thickBot="1" x14ac:dyDescent="0.25">
      <c r="A49" s="60" t="s">
        <v>63</v>
      </c>
      <c r="B49" s="61" t="s">
        <v>24</v>
      </c>
      <c r="C49" s="61">
        <v>22.19</v>
      </c>
      <c r="D49" s="55">
        <f>(C49/100)*D44</f>
        <v>779.10485925561329</v>
      </c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ht="13.5" thickBot="1" x14ac:dyDescent="0.25">
      <c r="A51" s="390" t="s">
        <v>64</v>
      </c>
      <c r="B51" s="391"/>
      <c r="C51" s="392"/>
      <c r="D51" s="59">
        <f>D44+D49</f>
        <v>4290.1677671222797</v>
      </c>
      <c r="E51" s="32"/>
      <c r="F51" s="32"/>
    </row>
    <row r="52" spans="1:6" ht="15.75" x14ac:dyDescent="0.2">
      <c r="A52" s="62"/>
      <c r="B52" s="62"/>
      <c r="C52" s="62"/>
      <c r="D52" s="63"/>
      <c r="E52" s="63"/>
      <c r="F52" s="32"/>
    </row>
    <row r="53" spans="1:6" ht="15.75" x14ac:dyDescent="0.2">
      <c r="A53" s="64" t="s">
        <v>39</v>
      </c>
      <c r="B53" s="33"/>
      <c r="C53" s="33"/>
      <c r="D53" s="33"/>
      <c r="E53" s="33"/>
      <c r="F53" s="18"/>
    </row>
    <row r="54" spans="1:6" x14ac:dyDescent="0.2">
      <c r="A54" s="65"/>
      <c r="B54" s="66"/>
      <c r="C54" s="37"/>
      <c r="D54" s="33"/>
      <c r="E54" s="67"/>
      <c r="F54" s="38"/>
    </row>
    <row r="55" spans="1:6" x14ac:dyDescent="0.2">
      <c r="A55" s="68" t="s">
        <v>65</v>
      </c>
      <c r="B55" s="69"/>
      <c r="C55" s="37"/>
      <c r="D55" s="33"/>
      <c r="E55" s="70"/>
      <c r="F55" s="71"/>
    </row>
    <row r="56" spans="1:6" ht="15" x14ac:dyDescent="0.2">
      <c r="A56" s="72" t="s">
        <v>66</v>
      </c>
      <c r="B56" s="73">
        <v>0.2</v>
      </c>
      <c r="C56" s="37"/>
      <c r="D56" s="33"/>
      <c r="E56" s="33"/>
      <c r="F56" s="18"/>
    </row>
    <row r="57" spans="1:6" ht="15" x14ac:dyDescent="0.2">
      <c r="A57" s="72" t="s">
        <v>67</v>
      </c>
      <c r="B57" s="73">
        <v>1.4999999999999999E-2</v>
      </c>
      <c r="C57" s="37"/>
      <c r="D57" s="33"/>
      <c r="E57" s="33"/>
      <c r="F57" s="18"/>
    </row>
    <row r="58" spans="1:6" ht="15" x14ac:dyDescent="0.2">
      <c r="A58" s="72" t="s">
        <v>68</v>
      </c>
      <c r="B58" s="73">
        <v>0.01</v>
      </c>
      <c r="C58" s="37"/>
      <c r="D58" s="33"/>
      <c r="E58" s="33"/>
      <c r="F58" s="18"/>
    </row>
    <row r="59" spans="1:6" ht="15" x14ac:dyDescent="0.2">
      <c r="A59" s="72" t="s">
        <v>69</v>
      </c>
      <c r="B59" s="73">
        <v>2E-3</v>
      </c>
      <c r="C59" s="37"/>
      <c r="D59" s="33"/>
      <c r="E59" s="33"/>
      <c r="F59" s="18"/>
    </row>
    <row r="60" spans="1:6" ht="15" x14ac:dyDescent="0.2">
      <c r="A60" s="72" t="s">
        <v>70</v>
      </c>
      <c r="B60" s="73">
        <v>6.0000000000000001E-3</v>
      </c>
      <c r="C60" s="37"/>
      <c r="D60" s="33"/>
      <c r="E60" s="33"/>
      <c r="F60" s="18"/>
    </row>
    <row r="61" spans="1:6" ht="15" x14ac:dyDescent="0.2">
      <c r="A61" s="72" t="s">
        <v>71</v>
      </c>
      <c r="B61" s="73">
        <v>2.5000000000000001E-2</v>
      </c>
      <c r="C61" s="37"/>
      <c r="D61" s="33"/>
      <c r="E61" s="33"/>
      <c r="F61" s="18"/>
    </row>
    <row r="62" spans="1:6" ht="15" x14ac:dyDescent="0.2">
      <c r="A62" s="72" t="s">
        <v>72</v>
      </c>
      <c r="B62" s="73">
        <v>0.03</v>
      </c>
      <c r="C62" s="37"/>
      <c r="D62" s="33"/>
      <c r="E62" s="33"/>
      <c r="F62" s="18"/>
    </row>
    <row r="63" spans="1:6" ht="15" x14ac:dyDescent="0.2">
      <c r="A63" s="72" t="s">
        <v>73</v>
      </c>
      <c r="B63" s="73">
        <v>0.08</v>
      </c>
      <c r="C63" s="37"/>
      <c r="D63" s="33"/>
      <c r="E63" s="33"/>
      <c r="F63" s="18"/>
    </row>
    <row r="64" spans="1:6" x14ac:dyDescent="0.2">
      <c r="A64" s="74" t="s">
        <v>74</v>
      </c>
      <c r="B64" s="75">
        <f>SUM(B56:B63)</f>
        <v>0.36800000000000005</v>
      </c>
      <c r="C64" s="37"/>
      <c r="D64" s="33"/>
      <c r="E64" s="67"/>
      <c r="F64" s="38"/>
    </row>
    <row r="65" spans="1:6" x14ac:dyDescent="0.2">
      <c r="A65" s="32"/>
      <c r="B65" s="32"/>
      <c r="C65" s="32"/>
      <c r="D65" s="33"/>
      <c r="E65" s="33"/>
      <c r="F65" s="32"/>
    </row>
    <row r="66" spans="1:6" x14ac:dyDescent="0.2">
      <c r="A66" s="68" t="s">
        <v>75</v>
      </c>
      <c r="B66" s="76"/>
      <c r="C66" s="37"/>
      <c r="D66" s="33"/>
      <c r="E66" s="70"/>
      <c r="F66" s="71"/>
    </row>
    <row r="67" spans="1:6" ht="15" x14ac:dyDescent="0.2">
      <c r="A67" s="72" t="s">
        <v>76</v>
      </c>
      <c r="B67" s="73">
        <v>6.4000000000000003E-3</v>
      </c>
      <c r="C67" s="37"/>
      <c r="D67" s="33"/>
      <c r="E67" s="33"/>
      <c r="F67" s="18"/>
    </row>
    <row r="68" spans="1:6" ht="15" x14ac:dyDescent="0.2">
      <c r="A68" s="72" t="s">
        <v>77</v>
      </c>
      <c r="B68" s="73">
        <v>8.3299999999999999E-2</v>
      </c>
      <c r="C68" s="37"/>
      <c r="D68" s="33"/>
      <c r="E68" s="33"/>
      <c r="F68" s="18"/>
    </row>
    <row r="69" spans="1:6" ht="15" x14ac:dyDescent="0.2">
      <c r="A69" s="72" t="s">
        <v>78</v>
      </c>
      <c r="B69" s="73">
        <v>4.0000000000000002E-4</v>
      </c>
      <c r="C69" s="37"/>
      <c r="D69" s="33"/>
      <c r="E69" s="33"/>
      <c r="F69" s="18"/>
    </row>
    <row r="70" spans="1:6" x14ac:dyDescent="0.2">
      <c r="A70" s="72" t="s">
        <v>79</v>
      </c>
      <c r="B70" s="73">
        <v>5.5999999999999999E-3</v>
      </c>
      <c r="C70" s="37"/>
      <c r="D70" s="33"/>
      <c r="E70" s="67"/>
      <c r="F70" s="38"/>
    </row>
    <row r="71" spans="1:6" x14ac:dyDescent="0.2">
      <c r="A71" s="72" t="s">
        <v>80</v>
      </c>
      <c r="B71" s="73">
        <v>8.0000000000000004E-4</v>
      </c>
      <c r="C71" s="32"/>
      <c r="D71" s="33"/>
      <c r="E71" s="33"/>
      <c r="F71" s="32"/>
    </row>
    <row r="72" spans="1:6" x14ac:dyDescent="0.2">
      <c r="A72" s="72" t="s">
        <v>81</v>
      </c>
      <c r="B72" s="73">
        <v>8.7400000000000005E-2</v>
      </c>
      <c r="C72" s="77"/>
      <c r="D72" s="20"/>
      <c r="E72" s="70"/>
      <c r="F72" s="71"/>
    </row>
    <row r="73" spans="1:6" x14ac:dyDescent="0.2">
      <c r="A73" s="72" t="s">
        <v>82</v>
      </c>
      <c r="B73" s="73">
        <v>2.9999999999999997E-4</v>
      </c>
      <c r="C73" s="77"/>
      <c r="D73" s="20"/>
      <c r="E73" s="70"/>
      <c r="F73" s="71"/>
    </row>
    <row r="74" spans="1:6" ht="15" x14ac:dyDescent="0.2">
      <c r="A74" s="74" t="s">
        <v>74</v>
      </c>
      <c r="B74" s="75">
        <f>SUM(B67:B73)</f>
        <v>0.1842</v>
      </c>
      <c r="C74" s="37"/>
      <c r="D74" s="33"/>
      <c r="E74" s="33"/>
      <c r="F74" s="18"/>
    </row>
    <row r="75" spans="1:6" ht="15" x14ac:dyDescent="0.2">
      <c r="A75" s="72"/>
      <c r="B75" s="73"/>
      <c r="C75" s="37"/>
      <c r="D75" s="33"/>
      <c r="E75" s="33"/>
      <c r="F75" s="18"/>
    </row>
    <row r="76" spans="1:6" ht="15" x14ac:dyDescent="0.25">
      <c r="A76" s="68" t="s">
        <v>83</v>
      </c>
      <c r="B76" s="76"/>
      <c r="C76" s="37"/>
      <c r="D76" s="38"/>
      <c r="E76" s="78"/>
      <c r="F76" s="38"/>
    </row>
    <row r="77" spans="1:6" ht="15" x14ac:dyDescent="0.25">
      <c r="A77" s="72" t="s">
        <v>84</v>
      </c>
      <c r="B77" s="73">
        <v>3.4700000000000002E-2</v>
      </c>
      <c r="C77" s="32"/>
      <c r="D77" s="78"/>
      <c r="E77" s="78"/>
      <c r="F77" s="32"/>
    </row>
    <row r="78" spans="1:6" ht="15" x14ac:dyDescent="0.25">
      <c r="A78" s="72" t="s">
        <v>85</v>
      </c>
      <c r="B78" s="73">
        <v>8.0000000000000004E-4</v>
      </c>
      <c r="C78" s="32"/>
      <c r="D78" s="78"/>
      <c r="E78" s="78"/>
      <c r="F78" s="32"/>
    </row>
    <row r="79" spans="1:6" ht="15" x14ac:dyDescent="0.25">
      <c r="A79" s="72" t="s">
        <v>86</v>
      </c>
      <c r="B79" s="73">
        <v>1.7100000000000001E-2</v>
      </c>
      <c r="C79" s="77"/>
      <c r="D79" s="78"/>
      <c r="E79" s="78"/>
      <c r="F79" s="71"/>
    </row>
    <row r="80" spans="1:6" ht="15" x14ac:dyDescent="0.25">
      <c r="A80" s="72" t="s">
        <v>87</v>
      </c>
      <c r="B80" s="73">
        <v>1.9300000000000001E-2</v>
      </c>
      <c r="C80" s="37"/>
      <c r="D80" s="78"/>
      <c r="E80" s="78"/>
      <c r="F80" s="18"/>
    </row>
    <row r="81" spans="1:6" ht="15" x14ac:dyDescent="0.25">
      <c r="A81" s="72" t="s">
        <v>88</v>
      </c>
      <c r="B81" s="73">
        <v>2.8999999999999998E-3</v>
      </c>
      <c r="C81" s="37"/>
      <c r="D81" s="78"/>
      <c r="E81" s="78"/>
      <c r="F81" s="18"/>
    </row>
    <row r="82" spans="1:6" ht="15" x14ac:dyDescent="0.25">
      <c r="A82" s="74" t="s">
        <v>74</v>
      </c>
      <c r="B82" s="75">
        <f>SUM(B77:B81)</f>
        <v>7.4800000000000005E-2</v>
      </c>
      <c r="C82" s="37"/>
      <c r="D82" s="78"/>
      <c r="E82" s="78"/>
      <c r="F82" s="18"/>
    </row>
    <row r="83" spans="1:6" ht="15" x14ac:dyDescent="0.25">
      <c r="A83" s="72"/>
      <c r="B83" s="73"/>
      <c r="C83" s="37"/>
      <c r="D83" s="78"/>
      <c r="E83" s="78"/>
      <c r="F83" s="18"/>
    </row>
    <row r="84" spans="1:6" ht="15" x14ac:dyDescent="0.25">
      <c r="A84" s="68" t="s">
        <v>89</v>
      </c>
      <c r="B84" s="73"/>
      <c r="C84" s="37"/>
      <c r="D84" s="78"/>
      <c r="E84" s="78"/>
      <c r="F84" s="18"/>
    </row>
    <row r="85" spans="1:6" ht="15" x14ac:dyDescent="0.25">
      <c r="A85" s="72" t="s">
        <v>90</v>
      </c>
      <c r="B85" s="73">
        <v>6.7799999999999999E-2</v>
      </c>
      <c r="C85" s="37"/>
      <c r="D85" s="78"/>
      <c r="E85" s="78"/>
      <c r="F85" s="18"/>
    </row>
    <row r="86" spans="1:6" ht="15" x14ac:dyDescent="0.25">
      <c r="A86" s="72" t="s">
        <v>91</v>
      </c>
      <c r="B86" s="73">
        <v>3.0999999999999999E-3</v>
      </c>
      <c r="C86" s="37"/>
      <c r="D86" s="78"/>
      <c r="E86" s="78"/>
      <c r="F86" s="18"/>
    </row>
    <row r="87" spans="1:6" ht="15" x14ac:dyDescent="0.25">
      <c r="A87" s="74" t="s">
        <v>74</v>
      </c>
      <c r="B87" s="75">
        <f>SUM(B85:B86)</f>
        <v>7.0900000000000005E-2</v>
      </c>
      <c r="C87" s="37"/>
      <c r="D87" s="78"/>
      <c r="E87" s="78"/>
      <c r="F87" s="18"/>
    </row>
    <row r="88" spans="1:6" ht="15" x14ac:dyDescent="0.25">
      <c r="A88" s="32"/>
      <c r="B88" s="32"/>
      <c r="C88" s="32"/>
      <c r="D88" s="78"/>
      <c r="E88" s="78"/>
      <c r="F88" s="32"/>
    </row>
    <row r="89" spans="1:6" ht="15" x14ac:dyDescent="0.25">
      <c r="A89" s="74" t="s">
        <v>92</v>
      </c>
      <c r="B89" s="75">
        <f>B64+B74+B82+B87</f>
        <v>0.69789999999999996</v>
      </c>
      <c r="C89" s="77"/>
      <c r="D89" s="78"/>
      <c r="E89" s="78"/>
      <c r="F89" s="38"/>
    </row>
    <row r="90" spans="1:6" x14ac:dyDescent="0.2">
      <c r="A90" s="32"/>
      <c r="B90" s="32"/>
      <c r="C90" s="32"/>
      <c r="D90" s="33"/>
      <c r="E90" s="33"/>
      <c r="F90" s="32"/>
    </row>
    <row r="91" spans="1:6" x14ac:dyDescent="0.2">
      <c r="A91" s="79" t="s">
        <v>93</v>
      </c>
      <c r="B91" s="32"/>
      <c r="C91" s="32"/>
      <c r="D91" s="33"/>
      <c r="E91" s="33"/>
      <c r="F91" s="32"/>
    </row>
    <row r="92" spans="1:6" ht="13.5" thickBot="1" x14ac:dyDescent="0.25">
      <c r="A92" s="79"/>
      <c r="B92" s="32"/>
      <c r="C92" s="32"/>
      <c r="D92" s="33"/>
      <c r="E92" s="33"/>
      <c r="F92" s="32"/>
    </row>
    <row r="93" spans="1:6" x14ac:dyDescent="0.2">
      <c r="A93" s="80" t="s">
        <v>94</v>
      </c>
      <c r="B93" s="81" t="s">
        <v>95</v>
      </c>
      <c r="C93" s="82">
        <v>0.05</v>
      </c>
      <c r="D93" s="33"/>
      <c r="E93" s="33"/>
      <c r="F93" s="32"/>
    </row>
    <row r="94" spans="1:6" x14ac:dyDescent="0.2">
      <c r="A94" s="83" t="s">
        <v>96</v>
      </c>
      <c r="B94" s="43" t="s">
        <v>97</v>
      </c>
      <c r="C94" s="84">
        <v>2.5000000000000001E-3</v>
      </c>
      <c r="D94" s="85"/>
      <c r="E94" s="33"/>
      <c r="F94" s="32"/>
    </row>
    <row r="95" spans="1:6" x14ac:dyDescent="0.2">
      <c r="A95" s="83" t="s">
        <v>98</v>
      </c>
      <c r="B95" s="43" t="s">
        <v>99</v>
      </c>
      <c r="C95" s="84">
        <v>0.05</v>
      </c>
      <c r="D95" s="33"/>
      <c r="E95" s="33"/>
      <c r="F95" s="32"/>
    </row>
    <row r="96" spans="1:6" x14ac:dyDescent="0.2">
      <c r="A96" s="83" t="s">
        <v>100</v>
      </c>
      <c r="B96" s="43" t="s">
        <v>101</v>
      </c>
      <c r="C96" s="84">
        <v>0.01</v>
      </c>
      <c r="D96" s="33"/>
      <c r="E96" s="33"/>
      <c r="F96" s="32"/>
    </row>
    <row r="97" spans="1:6" x14ac:dyDescent="0.2">
      <c r="A97" s="86" t="s">
        <v>102</v>
      </c>
      <c r="B97" s="331" t="s">
        <v>103</v>
      </c>
      <c r="C97" s="84">
        <v>0.05</v>
      </c>
      <c r="D97" s="33"/>
      <c r="E97" s="33"/>
      <c r="F97" s="32"/>
    </row>
    <row r="98" spans="1:6" ht="13.5" thickBot="1" x14ac:dyDescent="0.25">
      <c r="A98" s="88" t="s">
        <v>104</v>
      </c>
      <c r="B98" s="332"/>
      <c r="C98" s="90">
        <v>3.6499999999999998E-2</v>
      </c>
      <c r="D98" s="33"/>
      <c r="E98" s="33"/>
      <c r="F98" s="32"/>
    </row>
    <row r="99" spans="1:6" x14ac:dyDescent="0.2">
      <c r="A99" s="91" t="s">
        <v>105</v>
      </c>
      <c r="B99" s="92"/>
      <c r="C99" s="93"/>
      <c r="D99" s="33"/>
      <c r="E99" s="33"/>
      <c r="F99" s="32"/>
    </row>
    <row r="100" spans="1:6" ht="13.5" thickBot="1" x14ac:dyDescent="0.25">
      <c r="A100" s="94" t="s">
        <v>106</v>
      </c>
      <c r="B100" s="95"/>
      <c r="C100" s="96"/>
      <c r="D100" s="33"/>
      <c r="E100" s="33"/>
      <c r="F100" s="32"/>
    </row>
    <row r="101" spans="1:6" ht="26.25" thickBot="1" x14ac:dyDescent="0.25">
      <c r="A101" s="97" t="s">
        <v>107</v>
      </c>
      <c r="B101" s="98"/>
      <c r="C101" s="99">
        <f>ROUND((((1+C93+C94)*(1+C95)*(1+C96))/(1-(C97+C98))-1),4)</f>
        <v>0.22189999999999999</v>
      </c>
      <c r="D101" s="33"/>
      <c r="E101" s="33"/>
      <c r="F101" s="32"/>
    </row>
    <row r="102" spans="1:6" x14ac:dyDescent="0.2">
      <c r="A102" s="32"/>
      <c r="B102" s="32"/>
      <c r="C102" s="32"/>
      <c r="D102" s="33"/>
      <c r="E102" s="33"/>
      <c r="F102" s="32"/>
    </row>
    <row r="103" spans="1:6" x14ac:dyDescent="0.2">
      <c r="A103" s="393" t="s">
        <v>323</v>
      </c>
      <c r="B103" s="394"/>
      <c r="C103" s="395"/>
      <c r="D103" s="33"/>
      <c r="E103" s="33"/>
      <c r="F103" s="32"/>
    </row>
    <row r="104" spans="1:6" x14ac:dyDescent="0.2">
      <c r="A104" s="396"/>
      <c r="B104" s="397"/>
      <c r="C104" s="398"/>
      <c r="D104" s="33"/>
      <c r="E104" s="33"/>
      <c r="F104" s="32"/>
    </row>
    <row r="105" spans="1:6" x14ac:dyDescent="0.2">
      <c r="A105" s="396"/>
      <c r="B105" s="397"/>
      <c r="C105" s="398"/>
      <c r="D105" s="33"/>
      <c r="E105" s="33"/>
      <c r="F105" s="32"/>
    </row>
    <row r="106" spans="1:6" x14ac:dyDescent="0.2">
      <c r="A106" s="399"/>
      <c r="B106" s="400"/>
      <c r="C106" s="401"/>
      <c r="D106" s="33"/>
      <c r="E106" s="33"/>
      <c r="F106" s="32"/>
    </row>
    <row r="107" spans="1:6" x14ac:dyDescent="0.2">
      <c r="A107" s="100"/>
      <c r="B107" s="100"/>
      <c r="C107" s="100"/>
      <c r="D107" s="33"/>
      <c r="E107" s="33"/>
      <c r="F107" s="32"/>
    </row>
    <row r="108" spans="1:6" ht="15" x14ac:dyDescent="0.25">
      <c r="A108" s="278"/>
      <c r="B108" s="278"/>
      <c r="C108" s="100"/>
      <c r="D108" s="33"/>
      <c r="E108" s="33"/>
      <c r="F108" s="32"/>
    </row>
    <row r="109" spans="1:6" ht="15" x14ac:dyDescent="0.25">
      <c r="A109" s="278"/>
      <c r="B109" s="278"/>
      <c r="C109" s="100"/>
      <c r="D109" s="33"/>
      <c r="E109" s="33"/>
      <c r="F109" s="32"/>
    </row>
    <row r="110" spans="1:6" x14ac:dyDescent="0.2">
      <c r="A110" s="32"/>
      <c r="B110" s="32"/>
      <c r="C110" s="32"/>
      <c r="D110" s="33"/>
      <c r="E110" s="33"/>
      <c r="F110" s="32"/>
    </row>
    <row r="111" spans="1:6" x14ac:dyDescent="0.2">
      <c r="A111" s="32"/>
      <c r="B111" s="32"/>
      <c r="C111" s="32"/>
      <c r="D111" s="33"/>
      <c r="E111" s="33"/>
      <c r="F111" s="32"/>
    </row>
  </sheetData>
  <mergeCells count="13">
    <mergeCell ref="A51:C51"/>
    <mergeCell ref="B97:B98"/>
    <mergeCell ref="A103:C106"/>
    <mergeCell ref="A108:B108"/>
    <mergeCell ref="A109:B109"/>
    <mergeCell ref="A42:C42"/>
    <mergeCell ref="A2:D2"/>
    <mergeCell ref="A4:D9"/>
    <mergeCell ref="B12:C12"/>
    <mergeCell ref="A18:C18"/>
    <mergeCell ref="A21:C21"/>
    <mergeCell ref="A22:C22"/>
    <mergeCell ref="A30:C3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46" workbookViewId="0">
      <selection activeCell="F11" sqref="F11"/>
    </sheetView>
  </sheetViews>
  <sheetFormatPr defaultRowHeight="12.75" x14ac:dyDescent="0.2"/>
  <cols>
    <col min="1" max="1" width="37.7109375" customWidth="1"/>
    <col min="4" max="4" width="58.5703125" customWidth="1"/>
    <col min="6" max="6" width="16.140625" customWidth="1"/>
  </cols>
  <sheetData>
    <row r="1" spans="1:6" ht="15" x14ac:dyDescent="0.2">
      <c r="A1" s="379" t="s">
        <v>196</v>
      </c>
      <c r="B1" s="379"/>
      <c r="C1" s="379"/>
      <c r="D1" s="379"/>
      <c r="E1" s="21"/>
      <c r="F1" s="21"/>
    </row>
    <row r="2" spans="1:6" ht="15" x14ac:dyDescent="0.2">
      <c r="A2" s="18"/>
      <c r="B2" s="19"/>
      <c r="C2" s="19"/>
      <c r="D2" s="22"/>
      <c r="E2" s="22"/>
      <c r="F2" s="18"/>
    </row>
    <row r="3" spans="1:6" ht="15" x14ac:dyDescent="0.2">
      <c r="A3" s="380" t="s">
        <v>197</v>
      </c>
      <c r="B3" s="380"/>
      <c r="C3" s="380"/>
      <c r="D3" s="380"/>
      <c r="E3" s="22"/>
      <c r="F3" s="18"/>
    </row>
    <row r="4" spans="1:6" ht="15" x14ac:dyDescent="0.2">
      <c r="A4" s="380"/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15" x14ac:dyDescent="0.2">
      <c r="A9" s="18"/>
      <c r="B9" s="19"/>
      <c r="C9" s="19"/>
      <c r="D9" s="22"/>
      <c r="E9" s="22"/>
      <c r="F9" s="18"/>
    </row>
    <row r="10" spans="1:6" ht="15.75" thickBot="1" x14ac:dyDescent="0.25">
      <c r="A10" s="23" t="s">
        <v>21</v>
      </c>
      <c r="B10" s="20"/>
      <c r="C10" s="20"/>
      <c r="D10" s="24">
        <v>46008</v>
      </c>
      <c r="E10" s="18"/>
      <c r="F10" s="18"/>
    </row>
    <row r="11" spans="1:6" ht="15" x14ac:dyDescent="0.2">
      <c r="A11" s="25" t="s">
        <v>22</v>
      </c>
      <c r="B11" s="381" t="s">
        <v>23</v>
      </c>
      <c r="C11" s="381"/>
      <c r="D11" s="26" t="s">
        <v>24</v>
      </c>
      <c r="E11" s="18"/>
      <c r="F11" s="18"/>
    </row>
    <row r="12" spans="1:6" ht="15" x14ac:dyDescent="0.2">
      <c r="A12" s="27" t="s">
        <v>25</v>
      </c>
      <c r="B12" s="222">
        <f>D30</f>
        <v>4490.3527238000006</v>
      </c>
      <c r="C12" s="223"/>
      <c r="D12" s="28" t="e">
        <f>+B12/D$52</f>
        <v>#DIV/0!</v>
      </c>
      <c r="E12" s="18"/>
      <c r="F12" s="18"/>
    </row>
    <row r="13" spans="1:6" ht="15" x14ac:dyDescent="0.2">
      <c r="A13" s="27" t="s">
        <v>26</v>
      </c>
      <c r="B13" s="222">
        <f>E42</f>
        <v>195.01666666666665</v>
      </c>
      <c r="C13" s="223"/>
      <c r="D13" s="28" t="e">
        <f>+B13/D$52</f>
        <v>#DIV/0!</v>
      </c>
      <c r="E13" s="18"/>
      <c r="F13" s="18"/>
    </row>
    <row r="14" spans="1:6" ht="15.75" thickBot="1" x14ac:dyDescent="0.25">
      <c r="A14" s="29" t="s">
        <v>27</v>
      </c>
      <c r="B14" s="222">
        <f>D49</f>
        <v>1039.6834677445536</v>
      </c>
      <c r="C14" s="223"/>
      <c r="D14" s="28" t="e">
        <f>+B14/D$52</f>
        <v>#DIV/0!</v>
      </c>
      <c r="E14" s="18"/>
      <c r="F14" s="18"/>
    </row>
    <row r="15" spans="1:6" ht="15.75" thickBot="1" x14ac:dyDescent="0.25">
      <c r="A15" s="30" t="s">
        <v>118</v>
      </c>
      <c r="B15" s="224">
        <f>SUM(B12:C14)</f>
        <v>5725.0528582112202</v>
      </c>
      <c r="C15" s="225"/>
      <c r="D15" s="31" t="e">
        <f>SUM(D12:D14)</f>
        <v>#DIV/0!</v>
      </c>
      <c r="E15" s="18"/>
      <c r="F15" s="18"/>
    </row>
    <row r="16" spans="1:6" ht="13.5" thickBot="1" x14ac:dyDescent="0.25">
      <c r="A16" s="32"/>
      <c r="B16" s="32"/>
      <c r="C16" s="32"/>
      <c r="D16" s="33"/>
      <c r="E16" s="33"/>
      <c r="F16" s="32"/>
    </row>
    <row r="17" spans="1:7" ht="13.5" thickBot="1" x14ac:dyDescent="0.25">
      <c r="A17" s="382" t="s">
        <v>28</v>
      </c>
      <c r="B17" s="383"/>
      <c r="C17" s="383"/>
      <c r="D17" s="34">
        <f>B15/220</f>
        <v>26.022967537323726</v>
      </c>
      <c r="E17" s="33"/>
      <c r="F17" s="32"/>
    </row>
    <row r="18" spans="1:7" x14ac:dyDescent="0.2">
      <c r="A18" s="32"/>
      <c r="B18" s="32"/>
      <c r="C18" s="32"/>
      <c r="D18" s="33"/>
      <c r="E18" s="33"/>
      <c r="F18" s="32"/>
    </row>
    <row r="19" spans="1:7" ht="15.75" thickBot="1" x14ac:dyDescent="0.25">
      <c r="A19" s="23" t="s">
        <v>29</v>
      </c>
      <c r="B19" s="33"/>
      <c r="C19" s="33"/>
      <c r="D19" s="33"/>
      <c r="E19" s="33"/>
      <c r="F19" s="18"/>
    </row>
    <row r="20" spans="1:7" ht="15" x14ac:dyDescent="0.2">
      <c r="A20" s="384" t="s">
        <v>30</v>
      </c>
      <c r="B20" s="385"/>
      <c r="C20" s="386"/>
      <c r="D20" s="35" t="s">
        <v>31</v>
      </c>
      <c r="E20" s="18"/>
      <c r="F20" s="18"/>
    </row>
    <row r="21" spans="1:7" ht="15.75" thickBot="1" x14ac:dyDescent="0.25">
      <c r="A21" s="387" t="s">
        <v>198</v>
      </c>
      <c r="B21" s="388"/>
      <c r="C21" s="389"/>
      <c r="D21" s="36">
        <v>1</v>
      </c>
      <c r="E21" s="18"/>
      <c r="F21" s="18"/>
    </row>
    <row r="22" spans="1:7" ht="15" x14ac:dyDescent="0.2">
      <c r="A22" s="37"/>
      <c r="B22" s="37"/>
      <c r="C22" s="37"/>
      <c r="D22" s="32"/>
      <c r="E22" s="32"/>
      <c r="F22" s="18"/>
    </row>
    <row r="23" spans="1:7" x14ac:dyDescent="0.2">
      <c r="A23" s="38" t="s">
        <v>32</v>
      </c>
      <c r="B23" s="32"/>
      <c r="C23" s="32"/>
      <c r="D23" s="33"/>
      <c r="E23" s="33"/>
      <c r="F23" s="32"/>
    </row>
    <row r="24" spans="1:7" ht="13.5" thickBot="1" x14ac:dyDescent="0.25">
      <c r="A24" s="32"/>
      <c r="B24" s="32"/>
      <c r="C24" s="32"/>
      <c r="D24" s="33"/>
      <c r="E24" s="33"/>
      <c r="F24" s="32"/>
    </row>
    <row r="25" spans="1:7" x14ac:dyDescent="0.2">
      <c r="A25" s="39" t="s">
        <v>33</v>
      </c>
      <c r="B25" s="40" t="s">
        <v>34</v>
      </c>
      <c r="C25" s="40" t="s">
        <v>31</v>
      </c>
      <c r="D25" s="41" t="s">
        <v>35</v>
      </c>
      <c r="E25" s="32"/>
      <c r="F25" s="32"/>
    </row>
    <row r="26" spans="1:7" x14ac:dyDescent="0.2">
      <c r="A26" s="101" t="s">
        <v>36</v>
      </c>
      <c r="B26" s="110" t="s">
        <v>37</v>
      </c>
      <c r="C26" s="110">
        <v>1</v>
      </c>
      <c r="D26" s="44">
        <v>1830.23</v>
      </c>
      <c r="E26" s="102" t="s">
        <v>199</v>
      </c>
      <c r="F26" s="102"/>
      <c r="G26" t="s">
        <v>189</v>
      </c>
    </row>
    <row r="27" spans="1:7" ht="15" x14ac:dyDescent="0.2">
      <c r="A27" s="45" t="s">
        <v>38</v>
      </c>
      <c r="B27" s="46" t="s">
        <v>24</v>
      </c>
      <c r="C27" s="46">
        <v>40</v>
      </c>
      <c r="D27" s="44">
        <f>(C27/100)*D26</f>
        <v>732.0920000000001</v>
      </c>
      <c r="E27" s="32"/>
      <c r="F27" s="32"/>
    </row>
    <row r="28" spans="1:7" ht="15" x14ac:dyDescent="0.2">
      <c r="A28" s="103" t="s">
        <v>41</v>
      </c>
      <c r="B28" s="46" t="s">
        <v>42</v>
      </c>
      <c r="C28" s="46">
        <v>52</v>
      </c>
      <c r="D28" s="44">
        <f>((4.8*2)*26)-(D26*0.06)</f>
        <v>139.78620000000001</v>
      </c>
      <c r="E28" s="32"/>
      <c r="F28" s="32"/>
    </row>
    <row r="29" spans="1:7" x14ac:dyDescent="0.2">
      <c r="A29" s="42" t="s">
        <v>39</v>
      </c>
      <c r="B29" s="110" t="s">
        <v>24</v>
      </c>
      <c r="C29" s="47">
        <f>B89</f>
        <v>0.69789999999999996</v>
      </c>
      <c r="D29" s="44">
        <f>0.6979*(D26+D27)</f>
        <v>1788.2445238</v>
      </c>
      <c r="E29" s="32"/>
      <c r="F29" s="32"/>
    </row>
    <row r="30" spans="1:7" ht="13.5" thickBot="1" x14ac:dyDescent="0.25">
      <c r="A30" s="377" t="s">
        <v>44</v>
      </c>
      <c r="B30" s="378"/>
      <c r="C30" s="378"/>
      <c r="D30" s="50">
        <f>SUM(D26:D29)</f>
        <v>4490.3527238000006</v>
      </c>
      <c r="E30" s="32"/>
      <c r="F30" s="32"/>
    </row>
    <row r="31" spans="1:7" x14ac:dyDescent="0.2">
      <c r="A31" s="32"/>
      <c r="B31" s="32"/>
      <c r="C31" s="32"/>
      <c r="D31" s="33"/>
      <c r="E31" s="33"/>
      <c r="F31" s="32"/>
    </row>
    <row r="32" spans="1:7" x14ac:dyDescent="0.2">
      <c r="A32" s="38" t="s">
        <v>45</v>
      </c>
      <c r="B32" s="32"/>
      <c r="C32" s="32"/>
      <c r="D32" s="33"/>
      <c r="E32" s="33"/>
      <c r="F32" s="32"/>
    </row>
    <row r="33" spans="1:8" ht="13.5" thickBot="1" x14ac:dyDescent="0.25">
      <c r="A33" s="32"/>
      <c r="B33" s="32"/>
      <c r="C33" s="32"/>
      <c r="D33" s="33"/>
      <c r="E33" s="33"/>
      <c r="F33" s="32"/>
    </row>
    <row r="34" spans="1:8" x14ac:dyDescent="0.2">
      <c r="A34" s="39" t="s">
        <v>33</v>
      </c>
      <c r="B34" s="40" t="s">
        <v>34</v>
      </c>
      <c r="C34" s="40" t="s">
        <v>31</v>
      </c>
      <c r="D34" s="41" t="s">
        <v>46</v>
      </c>
      <c r="E34" s="41" t="s">
        <v>47</v>
      </c>
      <c r="F34" s="41" t="s">
        <v>48</v>
      </c>
      <c r="G34" s="41" t="s">
        <v>49</v>
      </c>
      <c r="H34" s="41" t="s">
        <v>50</v>
      </c>
    </row>
    <row r="35" spans="1:8" x14ac:dyDescent="0.2">
      <c r="A35" s="168" t="s">
        <v>181</v>
      </c>
      <c r="B35" s="110" t="s">
        <v>51</v>
      </c>
      <c r="C35" s="171">
        <v>132</v>
      </c>
      <c r="D35" s="51">
        <f>C35*F35</f>
        <v>1729.2</v>
      </c>
      <c r="E35" s="172">
        <f>D35/12</f>
        <v>144.1</v>
      </c>
      <c r="F35" s="172">
        <v>13.1</v>
      </c>
      <c r="G35" s="54">
        <v>1</v>
      </c>
      <c r="H35" s="14">
        <v>360</v>
      </c>
    </row>
    <row r="36" spans="1:8" ht="30" x14ac:dyDescent="0.2">
      <c r="A36" s="169" t="s">
        <v>182</v>
      </c>
      <c r="B36" s="110" t="s">
        <v>183</v>
      </c>
      <c r="C36" s="46">
        <v>7</v>
      </c>
      <c r="D36" s="51">
        <f t="shared" ref="D36:D41" si="0">C36*F36</f>
        <v>184.79999999999998</v>
      </c>
      <c r="E36" s="52">
        <f t="shared" ref="E36:E42" si="1">D36/12</f>
        <v>15.399999999999999</v>
      </c>
      <c r="F36" s="53">
        <v>26.4</v>
      </c>
      <c r="G36" s="54">
        <v>1</v>
      </c>
      <c r="H36" s="14">
        <v>60</v>
      </c>
    </row>
    <row r="37" spans="1:8" ht="15" x14ac:dyDescent="0.2">
      <c r="A37" s="101" t="s">
        <v>184</v>
      </c>
      <c r="B37" s="110" t="s">
        <v>52</v>
      </c>
      <c r="C37" s="46">
        <v>4</v>
      </c>
      <c r="D37" s="51">
        <f t="shared" si="0"/>
        <v>178.16</v>
      </c>
      <c r="E37" s="52">
        <f t="shared" si="1"/>
        <v>14.846666666666666</v>
      </c>
      <c r="F37" s="53">
        <v>44.54</v>
      </c>
      <c r="G37" s="54">
        <v>1</v>
      </c>
      <c r="H37" s="14">
        <v>90</v>
      </c>
    </row>
    <row r="38" spans="1:8" ht="15" x14ac:dyDescent="0.2">
      <c r="A38" s="107" t="s">
        <v>54</v>
      </c>
      <c r="B38" s="110" t="s">
        <v>51</v>
      </c>
      <c r="C38" s="110">
        <v>6</v>
      </c>
      <c r="D38" s="51">
        <f t="shared" si="0"/>
        <v>14.16</v>
      </c>
      <c r="E38" s="52">
        <f t="shared" si="1"/>
        <v>1.18</v>
      </c>
      <c r="F38" s="53">
        <v>2.36</v>
      </c>
      <c r="G38" s="54">
        <v>0.5</v>
      </c>
      <c r="H38" s="14">
        <v>60</v>
      </c>
    </row>
    <row r="39" spans="1:8" ht="15" x14ac:dyDescent="0.2">
      <c r="A39" s="170" t="s">
        <v>56</v>
      </c>
      <c r="B39" s="48" t="s">
        <v>51</v>
      </c>
      <c r="C39" s="48">
        <v>73</v>
      </c>
      <c r="D39" s="51">
        <f t="shared" si="0"/>
        <v>128.47999999999999</v>
      </c>
      <c r="E39" s="52">
        <f t="shared" si="1"/>
        <v>10.706666666666665</v>
      </c>
      <c r="F39" s="53">
        <v>1.76</v>
      </c>
      <c r="G39" s="54">
        <v>0.3</v>
      </c>
      <c r="H39" s="14">
        <v>20</v>
      </c>
    </row>
    <row r="40" spans="1:8" ht="15" x14ac:dyDescent="0.2">
      <c r="A40" s="170" t="s">
        <v>57</v>
      </c>
      <c r="B40" s="48" t="s">
        <v>51</v>
      </c>
      <c r="C40" s="48">
        <v>2</v>
      </c>
      <c r="D40" s="51">
        <f t="shared" si="0"/>
        <v>40.9</v>
      </c>
      <c r="E40" s="52">
        <f t="shared" si="1"/>
        <v>3.4083333333333332</v>
      </c>
      <c r="F40" s="53">
        <v>20.45</v>
      </c>
      <c r="G40" s="54">
        <v>0.5</v>
      </c>
      <c r="H40" s="14">
        <v>130</v>
      </c>
    </row>
    <row r="41" spans="1:8" ht="15" x14ac:dyDescent="0.2">
      <c r="A41" s="170" t="s">
        <v>58</v>
      </c>
      <c r="B41" s="48" t="s">
        <v>51</v>
      </c>
      <c r="C41" s="48">
        <v>2</v>
      </c>
      <c r="D41" s="51">
        <f t="shared" si="0"/>
        <v>64.5</v>
      </c>
      <c r="E41" s="52">
        <f t="shared" si="1"/>
        <v>5.375</v>
      </c>
      <c r="F41" s="53">
        <v>32.25</v>
      </c>
      <c r="G41" s="54">
        <v>0.2</v>
      </c>
      <c r="H41" s="14">
        <v>1</v>
      </c>
    </row>
    <row r="42" spans="1:8" ht="13.5" thickBot="1" x14ac:dyDescent="0.25">
      <c r="A42" s="377" t="s">
        <v>60</v>
      </c>
      <c r="B42" s="378"/>
      <c r="C42" s="378"/>
      <c r="D42" s="55">
        <f>SUM(D35:D41)</f>
        <v>2340.1999999999998</v>
      </c>
      <c r="E42" s="55">
        <f t="shared" si="1"/>
        <v>195.01666666666665</v>
      </c>
      <c r="F42" s="56"/>
    </row>
    <row r="43" spans="1:8" ht="13.5" thickBot="1" x14ac:dyDescent="0.25">
      <c r="A43" s="32"/>
      <c r="B43" s="32"/>
      <c r="C43" s="32"/>
      <c r="D43" s="33"/>
      <c r="E43" s="33"/>
      <c r="F43" s="32"/>
    </row>
    <row r="44" spans="1:8" ht="13.5" thickBot="1" x14ac:dyDescent="0.25">
      <c r="A44" s="57" t="s">
        <v>61</v>
      </c>
      <c r="B44" s="58"/>
      <c r="C44" s="58"/>
      <c r="D44" s="59">
        <f>D30+E42</f>
        <v>4685.369390466667</v>
      </c>
      <c r="E44" s="32"/>
      <c r="F44" s="32"/>
    </row>
    <row r="45" spans="1:8" x14ac:dyDescent="0.2">
      <c r="A45" s="32"/>
      <c r="B45" s="32"/>
      <c r="C45" s="32"/>
      <c r="D45" s="33"/>
      <c r="E45" s="32"/>
      <c r="F45" s="32"/>
    </row>
    <row r="46" spans="1:8" x14ac:dyDescent="0.2">
      <c r="A46" s="38" t="s">
        <v>62</v>
      </c>
      <c r="B46" s="32"/>
      <c r="C46" s="32"/>
      <c r="D46" s="33"/>
      <c r="E46" s="32"/>
      <c r="F46" s="32"/>
    </row>
    <row r="47" spans="1:8" ht="13.5" thickBot="1" x14ac:dyDescent="0.25">
      <c r="A47" s="32"/>
      <c r="B47" s="32"/>
      <c r="C47" s="32"/>
      <c r="D47" s="33"/>
      <c r="E47" s="32"/>
      <c r="F47" s="32"/>
    </row>
    <row r="48" spans="1:8" x14ac:dyDescent="0.2">
      <c r="A48" s="39" t="s">
        <v>33</v>
      </c>
      <c r="B48" s="40" t="s">
        <v>34</v>
      </c>
      <c r="C48" s="40" t="s">
        <v>31</v>
      </c>
      <c r="D48" s="41" t="s">
        <v>35</v>
      </c>
      <c r="E48" s="32"/>
      <c r="F48" s="32"/>
    </row>
    <row r="49" spans="1:6" ht="13.5" thickBot="1" x14ac:dyDescent="0.25">
      <c r="A49" s="60" t="s">
        <v>63</v>
      </c>
      <c r="B49" s="111" t="s">
        <v>24</v>
      </c>
      <c r="C49" s="111">
        <v>22.19</v>
      </c>
      <c r="D49" s="55">
        <f>(C49/100)*D44</f>
        <v>1039.6834677445536</v>
      </c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ht="13.5" thickBot="1" x14ac:dyDescent="0.25">
      <c r="A51" s="390" t="s">
        <v>64</v>
      </c>
      <c r="B51" s="391"/>
      <c r="C51" s="392"/>
      <c r="D51" s="59">
        <f>D44+D49</f>
        <v>5725.0528582112202</v>
      </c>
      <c r="E51" s="32"/>
      <c r="F51" s="32"/>
    </row>
    <row r="52" spans="1:6" ht="15.75" x14ac:dyDescent="0.2">
      <c r="A52" s="62"/>
      <c r="B52" s="62"/>
      <c r="C52" s="62"/>
      <c r="D52" s="63"/>
      <c r="E52" s="63"/>
      <c r="F52" s="32"/>
    </row>
    <row r="53" spans="1:6" ht="15.75" x14ac:dyDescent="0.2">
      <c r="A53" s="64" t="s">
        <v>39</v>
      </c>
      <c r="B53" s="33"/>
      <c r="C53" s="33"/>
      <c r="D53" s="33"/>
      <c r="E53" s="33"/>
      <c r="F53" s="18"/>
    </row>
    <row r="54" spans="1:6" x14ac:dyDescent="0.2">
      <c r="A54" s="65"/>
      <c r="B54" s="66"/>
      <c r="C54" s="37"/>
      <c r="D54" s="33"/>
      <c r="E54" s="67"/>
      <c r="F54" s="38"/>
    </row>
    <row r="55" spans="1:6" x14ac:dyDescent="0.2">
      <c r="A55" s="68" t="s">
        <v>65</v>
      </c>
      <c r="B55" s="69"/>
      <c r="C55" s="37"/>
      <c r="D55" s="33"/>
      <c r="E55" s="70"/>
      <c r="F55" s="71"/>
    </row>
    <row r="56" spans="1:6" ht="15" x14ac:dyDescent="0.2">
      <c r="A56" s="72" t="s">
        <v>66</v>
      </c>
      <c r="B56" s="73">
        <v>0.2</v>
      </c>
      <c r="C56" s="37"/>
      <c r="D56" s="33"/>
      <c r="E56" s="33"/>
      <c r="F56" s="18"/>
    </row>
    <row r="57" spans="1:6" ht="15" x14ac:dyDescent="0.2">
      <c r="A57" s="72" t="s">
        <v>67</v>
      </c>
      <c r="B57" s="73">
        <v>1.4999999999999999E-2</v>
      </c>
      <c r="C57" s="37"/>
      <c r="D57" s="33"/>
      <c r="E57" s="33"/>
      <c r="F57" s="18"/>
    </row>
    <row r="58" spans="1:6" ht="15" x14ac:dyDescent="0.2">
      <c r="A58" s="72" t="s">
        <v>68</v>
      </c>
      <c r="B58" s="73">
        <v>0.01</v>
      </c>
      <c r="C58" s="37"/>
      <c r="D58" s="33"/>
      <c r="E58" s="33"/>
      <c r="F58" s="18"/>
    </row>
    <row r="59" spans="1:6" ht="15" x14ac:dyDescent="0.2">
      <c r="A59" s="72" t="s">
        <v>69</v>
      </c>
      <c r="B59" s="73">
        <v>2E-3</v>
      </c>
      <c r="C59" s="37"/>
      <c r="D59" s="33"/>
      <c r="E59" s="33"/>
      <c r="F59" s="18"/>
    </row>
    <row r="60" spans="1:6" ht="15" x14ac:dyDescent="0.2">
      <c r="A60" s="72" t="s">
        <v>70</v>
      </c>
      <c r="B60" s="73">
        <v>6.0000000000000001E-3</v>
      </c>
      <c r="C60" s="37"/>
      <c r="D60" s="33"/>
      <c r="E60" s="33"/>
      <c r="F60" s="18"/>
    </row>
    <row r="61" spans="1:6" ht="15" x14ac:dyDescent="0.2">
      <c r="A61" s="72" t="s">
        <v>71</v>
      </c>
      <c r="B61" s="73">
        <v>2.5000000000000001E-2</v>
      </c>
      <c r="C61" s="37"/>
      <c r="D61" s="33"/>
      <c r="E61" s="33"/>
      <c r="F61" s="18"/>
    </row>
    <row r="62" spans="1:6" ht="15" x14ac:dyDescent="0.2">
      <c r="A62" s="72" t="s">
        <v>72</v>
      </c>
      <c r="B62" s="73">
        <v>0.03</v>
      </c>
      <c r="C62" s="37"/>
      <c r="D62" s="33"/>
      <c r="E62" s="33"/>
      <c r="F62" s="18"/>
    </row>
    <row r="63" spans="1:6" ht="15" x14ac:dyDescent="0.2">
      <c r="A63" s="72" t="s">
        <v>73</v>
      </c>
      <c r="B63" s="73">
        <v>0.08</v>
      </c>
      <c r="C63" s="37"/>
      <c r="D63" s="33"/>
      <c r="E63" s="33"/>
      <c r="F63" s="18"/>
    </row>
    <row r="64" spans="1:6" x14ac:dyDescent="0.2">
      <c r="A64" s="74" t="s">
        <v>74</v>
      </c>
      <c r="B64" s="75">
        <f>SUM(B56:B63)</f>
        <v>0.36800000000000005</v>
      </c>
      <c r="C64" s="37"/>
      <c r="D64" s="33"/>
      <c r="E64" s="67"/>
      <c r="F64" s="38"/>
    </row>
    <row r="65" spans="1:6" x14ac:dyDescent="0.2">
      <c r="A65" s="32"/>
      <c r="B65" s="32"/>
      <c r="C65" s="32"/>
      <c r="D65" s="33"/>
      <c r="E65" s="33"/>
      <c r="F65" s="32"/>
    </row>
    <row r="66" spans="1:6" x14ac:dyDescent="0.2">
      <c r="A66" s="68" t="s">
        <v>75</v>
      </c>
      <c r="B66" s="76"/>
      <c r="C66" s="37"/>
      <c r="D66" s="33"/>
      <c r="E66" s="70"/>
      <c r="F66" s="71"/>
    </row>
    <row r="67" spans="1:6" ht="15" x14ac:dyDescent="0.2">
      <c r="A67" s="72" t="s">
        <v>76</v>
      </c>
      <c r="B67" s="73">
        <v>6.4000000000000003E-3</v>
      </c>
      <c r="C67" s="37"/>
      <c r="D67" s="33"/>
      <c r="E67" s="33"/>
      <c r="F67" s="18"/>
    </row>
    <row r="68" spans="1:6" ht="15" x14ac:dyDescent="0.2">
      <c r="A68" s="72" t="s">
        <v>77</v>
      </c>
      <c r="B68" s="73">
        <v>8.3299999999999999E-2</v>
      </c>
      <c r="C68" s="37"/>
      <c r="D68" s="33"/>
      <c r="E68" s="33"/>
      <c r="F68" s="18"/>
    </row>
    <row r="69" spans="1:6" ht="15" x14ac:dyDescent="0.2">
      <c r="A69" s="72" t="s">
        <v>78</v>
      </c>
      <c r="B69" s="73">
        <v>4.0000000000000002E-4</v>
      </c>
      <c r="C69" s="37"/>
      <c r="D69" s="33"/>
      <c r="E69" s="33"/>
      <c r="F69" s="18"/>
    </row>
    <row r="70" spans="1:6" x14ac:dyDescent="0.2">
      <c r="A70" s="72" t="s">
        <v>79</v>
      </c>
      <c r="B70" s="73">
        <v>5.5999999999999999E-3</v>
      </c>
      <c r="C70" s="37"/>
      <c r="D70" s="33"/>
      <c r="E70" s="67"/>
      <c r="F70" s="38"/>
    </row>
    <row r="71" spans="1:6" x14ac:dyDescent="0.2">
      <c r="A71" s="72" t="s">
        <v>80</v>
      </c>
      <c r="B71" s="73">
        <v>8.0000000000000004E-4</v>
      </c>
      <c r="C71" s="32"/>
      <c r="D71" s="33"/>
      <c r="E71" s="33"/>
      <c r="F71" s="32"/>
    </row>
    <row r="72" spans="1:6" x14ac:dyDescent="0.2">
      <c r="A72" s="72" t="s">
        <v>81</v>
      </c>
      <c r="B72" s="73">
        <v>8.7400000000000005E-2</v>
      </c>
      <c r="C72" s="77"/>
      <c r="D72" s="20"/>
      <c r="E72" s="70"/>
      <c r="F72" s="71"/>
    </row>
    <row r="73" spans="1:6" x14ac:dyDescent="0.2">
      <c r="A73" s="72" t="s">
        <v>82</v>
      </c>
      <c r="B73" s="73">
        <v>2.9999999999999997E-4</v>
      </c>
      <c r="C73" s="77"/>
      <c r="D73" s="20"/>
      <c r="E73" s="70"/>
      <c r="F73" s="71"/>
    </row>
    <row r="74" spans="1:6" ht="15" x14ac:dyDescent="0.2">
      <c r="A74" s="74" t="s">
        <v>74</v>
      </c>
      <c r="B74" s="75">
        <f>SUM(B67:B73)</f>
        <v>0.1842</v>
      </c>
      <c r="C74" s="37"/>
      <c r="D74" s="33"/>
      <c r="E74" s="33"/>
      <c r="F74" s="18"/>
    </row>
    <row r="75" spans="1:6" ht="15" x14ac:dyDescent="0.2">
      <c r="A75" s="72"/>
      <c r="B75" s="73"/>
      <c r="C75" s="37"/>
      <c r="D75" s="33"/>
      <c r="E75" s="33"/>
      <c r="F75" s="18"/>
    </row>
    <row r="76" spans="1:6" ht="15" x14ac:dyDescent="0.25">
      <c r="A76" s="68" t="s">
        <v>83</v>
      </c>
      <c r="B76" s="76"/>
      <c r="C76" s="37"/>
      <c r="D76" s="38"/>
      <c r="E76" s="78"/>
      <c r="F76" s="38"/>
    </row>
    <row r="77" spans="1:6" ht="15" x14ac:dyDescent="0.25">
      <c r="A77" s="72" t="s">
        <v>84</v>
      </c>
      <c r="B77" s="73">
        <v>3.4700000000000002E-2</v>
      </c>
      <c r="C77" s="32"/>
      <c r="D77" s="78"/>
      <c r="E77" s="78"/>
      <c r="F77" s="32"/>
    </row>
    <row r="78" spans="1:6" ht="15" x14ac:dyDescent="0.25">
      <c r="A78" s="72" t="s">
        <v>85</v>
      </c>
      <c r="B78" s="73">
        <v>8.0000000000000004E-4</v>
      </c>
      <c r="C78" s="32"/>
      <c r="D78" s="78"/>
      <c r="E78" s="78"/>
      <c r="F78" s="32"/>
    </row>
    <row r="79" spans="1:6" ht="15" x14ac:dyDescent="0.25">
      <c r="A79" s="72" t="s">
        <v>86</v>
      </c>
      <c r="B79" s="73">
        <v>1.7100000000000001E-2</v>
      </c>
      <c r="C79" s="77"/>
      <c r="D79" s="78"/>
      <c r="E79" s="78"/>
      <c r="F79" s="71"/>
    </row>
    <row r="80" spans="1:6" ht="15" x14ac:dyDescent="0.25">
      <c r="A80" s="72" t="s">
        <v>87</v>
      </c>
      <c r="B80" s="73">
        <v>1.9300000000000001E-2</v>
      </c>
      <c r="C80" s="37"/>
      <c r="D80" s="78"/>
      <c r="E80" s="78"/>
      <c r="F80" s="18"/>
    </row>
    <row r="81" spans="1:6" ht="15" x14ac:dyDescent="0.25">
      <c r="A81" s="72" t="s">
        <v>88</v>
      </c>
      <c r="B81" s="73">
        <v>2.8999999999999998E-3</v>
      </c>
      <c r="C81" s="37"/>
      <c r="D81" s="78"/>
      <c r="E81" s="78"/>
      <c r="F81" s="18"/>
    </row>
    <row r="82" spans="1:6" ht="15" x14ac:dyDescent="0.25">
      <c r="A82" s="74" t="s">
        <v>74</v>
      </c>
      <c r="B82" s="75">
        <f>SUM(B77:B81)</f>
        <v>7.4800000000000005E-2</v>
      </c>
      <c r="C82" s="37"/>
      <c r="D82" s="78"/>
      <c r="E82" s="78"/>
      <c r="F82" s="18"/>
    </row>
    <row r="83" spans="1:6" ht="15" x14ac:dyDescent="0.25">
      <c r="A83" s="72"/>
      <c r="B83" s="73"/>
      <c r="C83" s="37"/>
      <c r="D83" s="78"/>
      <c r="E83" s="78"/>
      <c r="F83" s="18"/>
    </row>
    <row r="84" spans="1:6" ht="15" x14ac:dyDescent="0.25">
      <c r="A84" s="68" t="s">
        <v>89</v>
      </c>
      <c r="B84" s="73"/>
      <c r="C84" s="37"/>
      <c r="D84" s="78"/>
      <c r="E84" s="78"/>
      <c r="F84" s="18"/>
    </row>
    <row r="85" spans="1:6" ht="15" x14ac:dyDescent="0.25">
      <c r="A85" s="72" t="s">
        <v>90</v>
      </c>
      <c r="B85" s="73">
        <v>6.7799999999999999E-2</v>
      </c>
      <c r="C85" s="37"/>
      <c r="D85" s="78"/>
      <c r="E85" s="78"/>
      <c r="F85" s="18"/>
    </row>
    <row r="86" spans="1:6" ht="15" x14ac:dyDescent="0.25">
      <c r="A86" s="72" t="s">
        <v>91</v>
      </c>
      <c r="B86" s="73">
        <v>3.0999999999999999E-3</v>
      </c>
      <c r="C86" s="37"/>
      <c r="D86" s="78"/>
      <c r="E86" s="78"/>
      <c r="F86" s="18"/>
    </row>
    <row r="87" spans="1:6" ht="15" x14ac:dyDescent="0.25">
      <c r="A87" s="74" t="s">
        <v>74</v>
      </c>
      <c r="B87" s="75">
        <f>SUM(B85:B86)</f>
        <v>7.0900000000000005E-2</v>
      </c>
      <c r="C87" s="37"/>
      <c r="D87" s="78"/>
      <c r="E87" s="78"/>
      <c r="F87" s="18"/>
    </row>
    <row r="88" spans="1:6" ht="15" x14ac:dyDescent="0.25">
      <c r="A88" s="32"/>
      <c r="B88" s="32"/>
      <c r="C88" s="32"/>
      <c r="D88" s="78"/>
      <c r="E88" s="78"/>
      <c r="F88" s="32"/>
    </row>
    <row r="89" spans="1:6" ht="15" x14ac:dyDescent="0.25">
      <c r="A89" s="74" t="s">
        <v>92</v>
      </c>
      <c r="B89" s="75">
        <f>B64+B74+B82+B87</f>
        <v>0.69789999999999996</v>
      </c>
      <c r="C89" s="77"/>
      <c r="D89" s="78"/>
      <c r="E89" s="78"/>
      <c r="F89" s="38"/>
    </row>
    <row r="90" spans="1:6" x14ac:dyDescent="0.2">
      <c r="A90" s="32"/>
      <c r="B90" s="32"/>
      <c r="C90" s="32"/>
      <c r="D90" s="33"/>
      <c r="E90" s="33"/>
      <c r="F90" s="32"/>
    </row>
    <row r="91" spans="1:6" x14ac:dyDescent="0.2">
      <c r="A91" s="79" t="s">
        <v>93</v>
      </c>
      <c r="B91" s="32"/>
      <c r="C91" s="32"/>
      <c r="D91" s="33"/>
      <c r="E91" s="33"/>
      <c r="F91" s="32"/>
    </row>
    <row r="92" spans="1:6" ht="13.5" thickBot="1" x14ac:dyDescent="0.25">
      <c r="A92" s="79"/>
      <c r="B92" s="32"/>
      <c r="C92" s="32"/>
      <c r="D92" s="33"/>
      <c r="E92" s="33"/>
      <c r="F92" s="32"/>
    </row>
    <row r="93" spans="1:6" x14ac:dyDescent="0.2">
      <c r="A93" s="80" t="s">
        <v>94</v>
      </c>
      <c r="B93" s="81" t="s">
        <v>95</v>
      </c>
      <c r="C93" s="82">
        <v>0.05</v>
      </c>
      <c r="D93" s="33"/>
      <c r="E93" s="33"/>
      <c r="F93" s="32"/>
    </row>
    <row r="94" spans="1:6" x14ac:dyDescent="0.2">
      <c r="A94" s="83" t="s">
        <v>96</v>
      </c>
      <c r="B94" s="110" t="s">
        <v>97</v>
      </c>
      <c r="C94" s="84">
        <v>2.5000000000000001E-3</v>
      </c>
      <c r="D94" s="85"/>
      <c r="E94" s="33"/>
      <c r="F94" s="32"/>
    </row>
    <row r="95" spans="1:6" x14ac:dyDescent="0.2">
      <c r="A95" s="83" t="s">
        <v>98</v>
      </c>
      <c r="B95" s="110" t="s">
        <v>99</v>
      </c>
      <c r="C95" s="84">
        <v>0.05</v>
      </c>
      <c r="D95" s="33"/>
      <c r="E95" s="33"/>
      <c r="F95" s="32"/>
    </row>
    <row r="96" spans="1:6" x14ac:dyDescent="0.2">
      <c r="A96" s="83" t="s">
        <v>100</v>
      </c>
      <c r="B96" s="110" t="s">
        <v>101</v>
      </c>
      <c r="C96" s="84">
        <v>0.01</v>
      </c>
      <c r="D96" s="33"/>
      <c r="E96" s="33"/>
      <c r="F96" s="32"/>
    </row>
    <row r="97" spans="1:6" x14ac:dyDescent="0.2">
      <c r="A97" s="86" t="s">
        <v>102</v>
      </c>
      <c r="B97" s="331" t="s">
        <v>103</v>
      </c>
      <c r="C97" s="84">
        <v>0.05</v>
      </c>
      <c r="D97" s="33"/>
      <c r="E97" s="33"/>
      <c r="F97" s="32"/>
    </row>
    <row r="98" spans="1:6" ht="13.5" thickBot="1" x14ac:dyDescent="0.25">
      <c r="A98" s="109" t="s">
        <v>104</v>
      </c>
      <c r="B98" s="332"/>
      <c r="C98" s="90">
        <v>3.6499999999999998E-2</v>
      </c>
      <c r="D98" s="33"/>
      <c r="E98" s="33"/>
      <c r="F98" s="32"/>
    </row>
    <row r="99" spans="1:6" ht="13.5" thickBot="1" x14ac:dyDescent="0.25">
      <c r="A99" s="91" t="s">
        <v>105</v>
      </c>
      <c r="B99" s="92"/>
      <c r="C99" s="93"/>
      <c r="D99" s="33"/>
      <c r="E99" s="33"/>
      <c r="F99" s="32"/>
    </row>
    <row r="100" spans="1:6" ht="13.5" thickBot="1" x14ac:dyDescent="0.25">
      <c r="A100" s="94" t="s">
        <v>106</v>
      </c>
      <c r="B100" s="95"/>
      <c r="C100" s="96"/>
      <c r="D100" s="97"/>
      <c r="E100" s="98"/>
      <c r="F100" s="99"/>
    </row>
    <row r="101" spans="1:6" ht="13.5" thickBot="1" x14ac:dyDescent="0.25">
      <c r="A101" s="97" t="s">
        <v>107</v>
      </c>
      <c r="B101" s="98"/>
      <c r="C101" s="99">
        <f>ROUND((((1+C93+C94)*(1+C95)*(1+C96))/(1-(C97+C98))-1),4)</f>
        <v>0.22189999999999999</v>
      </c>
      <c r="D101" s="33"/>
      <c r="E101" s="33"/>
      <c r="F101" s="32"/>
    </row>
    <row r="102" spans="1:6" x14ac:dyDescent="0.2">
      <c r="A102" s="32"/>
      <c r="B102" s="32"/>
      <c r="C102" s="32"/>
      <c r="D102" s="33"/>
      <c r="E102" s="33"/>
      <c r="F102" s="32"/>
    </row>
    <row r="103" spans="1:6" x14ac:dyDescent="0.2">
      <c r="A103" s="393" t="s">
        <v>323</v>
      </c>
      <c r="B103" s="394"/>
      <c r="C103" s="395"/>
      <c r="D103" s="33"/>
      <c r="E103" s="33"/>
      <c r="F103" s="32"/>
    </row>
    <row r="104" spans="1:6" x14ac:dyDescent="0.2">
      <c r="A104" s="396"/>
      <c r="B104" s="397"/>
      <c r="C104" s="398"/>
      <c r="D104" s="33"/>
      <c r="E104" s="33"/>
      <c r="F104" s="32"/>
    </row>
    <row r="105" spans="1:6" x14ac:dyDescent="0.2">
      <c r="A105" s="396"/>
      <c r="B105" s="397"/>
      <c r="C105" s="398"/>
      <c r="D105" s="33"/>
      <c r="E105" s="33"/>
      <c r="F105" s="32"/>
    </row>
    <row r="106" spans="1:6" x14ac:dyDescent="0.2">
      <c r="A106" s="399"/>
      <c r="B106" s="400"/>
      <c r="C106" s="401"/>
      <c r="D106" s="33"/>
      <c r="E106" s="33"/>
      <c r="F106" s="32"/>
    </row>
    <row r="107" spans="1:6" x14ac:dyDescent="0.2">
      <c r="A107" s="100"/>
      <c r="B107" s="100"/>
      <c r="C107" s="100"/>
      <c r="D107" s="33"/>
      <c r="E107" s="33"/>
      <c r="F107" s="32"/>
    </row>
    <row r="108" spans="1:6" ht="15" x14ac:dyDescent="0.25">
      <c r="A108" s="278"/>
      <c r="B108" s="278"/>
      <c r="C108" s="100"/>
      <c r="D108" s="33"/>
      <c r="E108" s="33"/>
      <c r="F108" s="32"/>
    </row>
    <row r="109" spans="1:6" ht="15" x14ac:dyDescent="0.25">
      <c r="A109" s="278"/>
      <c r="B109" s="278"/>
      <c r="C109" s="100"/>
      <c r="D109" s="33"/>
      <c r="E109" s="33"/>
      <c r="F109" s="32"/>
    </row>
    <row r="110" spans="1:6" x14ac:dyDescent="0.2">
      <c r="A110" s="32"/>
      <c r="B110" s="32"/>
      <c r="C110" s="32"/>
      <c r="D110" s="33"/>
      <c r="E110" s="33"/>
      <c r="F110" s="32"/>
    </row>
    <row r="111" spans="1:6" x14ac:dyDescent="0.2">
      <c r="A111" s="32"/>
      <c r="B111" s="32"/>
      <c r="C111" s="32"/>
      <c r="D111" s="33"/>
      <c r="E111" s="33"/>
      <c r="F111" s="32"/>
    </row>
  </sheetData>
  <mergeCells count="13">
    <mergeCell ref="A42:C42"/>
    <mergeCell ref="A1:D1"/>
    <mergeCell ref="A3:D8"/>
    <mergeCell ref="B11:C11"/>
    <mergeCell ref="A17:C17"/>
    <mergeCell ref="A20:C20"/>
    <mergeCell ref="A21:C21"/>
    <mergeCell ref="A30:C30"/>
    <mergeCell ref="A51:C51"/>
    <mergeCell ref="B97:B98"/>
    <mergeCell ref="A103:C106"/>
    <mergeCell ref="A108:B108"/>
    <mergeCell ref="A109:B10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4" workbookViewId="0">
      <selection activeCell="E11" sqref="E11"/>
    </sheetView>
  </sheetViews>
  <sheetFormatPr defaultRowHeight="12.75" x14ac:dyDescent="0.2"/>
  <cols>
    <col min="1" max="1" width="38.85546875" customWidth="1"/>
    <col min="4" max="4" width="44.85546875" customWidth="1"/>
    <col min="6" max="6" width="16.7109375" customWidth="1"/>
  </cols>
  <sheetData>
    <row r="1" spans="1:6" ht="15" x14ac:dyDescent="0.2">
      <c r="A1" s="379" t="s">
        <v>196</v>
      </c>
      <c r="B1" s="379"/>
      <c r="C1" s="379"/>
      <c r="D1" s="379"/>
      <c r="E1" s="21"/>
      <c r="F1" s="21"/>
    </row>
    <row r="2" spans="1:6" ht="15" x14ac:dyDescent="0.2">
      <c r="A2" s="18"/>
      <c r="B2" s="19"/>
      <c r="C2" s="19"/>
      <c r="D2" s="22"/>
      <c r="E2" s="22"/>
      <c r="F2" s="18"/>
    </row>
    <row r="3" spans="1:6" ht="15" x14ac:dyDescent="0.2">
      <c r="A3" s="380" t="s">
        <v>197</v>
      </c>
      <c r="B3" s="380"/>
      <c r="C3" s="380"/>
      <c r="D3" s="380"/>
      <c r="E3" s="22"/>
      <c r="F3" s="18"/>
    </row>
    <row r="4" spans="1:6" ht="15" x14ac:dyDescent="0.2">
      <c r="A4" s="380"/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15" x14ac:dyDescent="0.2">
      <c r="A9" s="18"/>
      <c r="B9" s="19"/>
      <c r="C9" s="19"/>
      <c r="D9" s="22"/>
      <c r="E9" s="22"/>
      <c r="F9" s="18"/>
    </row>
    <row r="10" spans="1:6" ht="15.75" thickBot="1" x14ac:dyDescent="0.25">
      <c r="A10" s="23" t="s">
        <v>21</v>
      </c>
      <c r="B10" s="20"/>
      <c r="C10" s="20"/>
      <c r="D10" s="24">
        <v>46008</v>
      </c>
      <c r="E10" s="18"/>
      <c r="F10" s="18"/>
    </row>
    <row r="11" spans="1:6" ht="15" x14ac:dyDescent="0.2">
      <c r="A11" s="25" t="s">
        <v>22</v>
      </c>
      <c r="B11" s="381" t="s">
        <v>23</v>
      </c>
      <c r="C11" s="381"/>
      <c r="D11" s="26" t="s">
        <v>24</v>
      </c>
      <c r="E11" s="18"/>
      <c r="F11" s="18"/>
    </row>
    <row r="12" spans="1:6" ht="15" x14ac:dyDescent="0.2">
      <c r="A12" s="27" t="s">
        <v>25</v>
      </c>
      <c r="B12" s="283">
        <f>D30</f>
        <v>4490.3527238000006</v>
      </c>
      <c r="C12" s="284"/>
      <c r="D12" s="28" t="e">
        <f>+B12/D$52</f>
        <v>#DIV/0!</v>
      </c>
      <c r="E12" s="18"/>
      <c r="F12" s="18"/>
    </row>
    <row r="13" spans="1:6" ht="15" x14ac:dyDescent="0.2">
      <c r="A13" s="27" t="s">
        <v>26</v>
      </c>
      <c r="B13" s="283">
        <f>E42</f>
        <v>195.01666666666665</v>
      </c>
      <c r="C13" s="284"/>
      <c r="D13" s="28" t="e">
        <f>+B13/D$52</f>
        <v>#DIV/0!</v>
      </c>
      <c r="E13" s="18"/>
      <c r="F13" s="18"/>
    </row>
    <row r="14" spans="1:6" ht="15.75" thickBot="1" x14ac:dyDescent="0.25">
      <c r="A14" s="29" t="s">
        <v>27</v>
      </c>
      <c r="B14" s="283">
        <f>D49</f>
        <v>1039.6834677445536</v>
      </c>
      <c r="C14" s="284"/>
      <c r="D14" s="28" t="e">
        <f>+B14/D$52</f>
        <v>#DIV/0!</v>
      </c>
      <c r="E14" s="18"/>
      <c r="F14" s="18"/>
    </row>
    <row r="15" spans="1:6" ht="15.75" thickBot="1" x14ac:dyDescent="0.25">
      <c r="A15" s="30" t="s">
        <v>118</v>
      </c>
      <c r="B15" s="285">
        <f>SUM(B12:C14)</f>
        <v>5725.0528582112202</v>
      </c>
      <c r="C15" s="286"/>
      <c r="D15" s="31" t="e">
        <f>SUM(D12:D14)</f>
        <v>#DIV/0!</v>
      </c>
      <c r="E15" s="18"/>
      <c r="F15" s="18"/>
    </row>
    <row r="16" spans="1:6" ht="13.5" thickBot="1" x14ac:dyDescent="0.25">
      <c r="A16" s="32"/>
      <c r="B16" s="32"/>
      <c r="C16" s="32"/>
      <c r="D16" s="33"/>
      <c r="E16" s="33"/>
      <c r="F16" s="32"/>
    </row>
    <row r="17" spans="1:7" ht="13.5" thickBot="1" x14ac:dyDescent="0.25">
      <c r="A17" s="382" t="s">
        <v>28</v>
      </c>
      <c r="B17" s="383"/>
      <c r="C17" s="383"/>
      <c r="D17" s="34">
        <f>B15/220</f>
        <v>26.022967537323726</v>
      </c>
      <c r="E17" s="33"/>
      <c r="F17" s="32"/>
    </row>
    <row r="18" spans="1:7" x14ac:dyDescent="0.2">
      <c r="A18" s="32"/>
      <c r="B18" s="32"/>
      <c r="C18" s="32"/>
      <c r="D18" s="33"/>
      <c r="E18" s="33"/>
      <c r="F18" s="32"/>
    </row>
    <row r="19" spans="1:7" ht="15.75" thickBot="1" x14ac:dyDescent="0.25">
      <c r="A19" s="23" t="s">
        <v>29</v>
      </c>
      <c r="B19" s="33"/>
      <c r="C19" s="33"/>
      <c r="D19" s="33"/>
      <c r="E19" s="33"/>
      <c r="F19" s="18"/>
    </row>
    <row r="20" spans="1:7" ht="15" x14ac:dyDescent="0.2">
      <c r="A20" s="384" t="s">
        <v>30</v>
      </c>
      <c r="B20" s="385"/>
      <c r="C20" s="386"/>
      <c r="D20" s="35" t="s">
        <v>31</v>
      </c>
      <c r="E20" s="18"/>
      <c r="F20" s="18"/>
    </row>
    <row r="21" spans="1:7" ht="15.75" thickBot="1" x14ac:dyDescent="0.25">
      <c r="A21" s="387" t="s">
        <v>198</v>
      </c>
      <c r="B21" s="388"/>
      <c r="C21" s="389"/>
      <c r="D21" s="36">
        <v>1</v>
      </c>
      <c r="E21" s="18"/>
      <c r="F21" s="18"/>
    </row>
    <row r="22" spans="1:7" ht="15" x14ac:dyDescent="0.2">
      <c r="A22" s="37"/>
      <c r="B22" s="37"/>
      <c r="C22" s="37"/>
      <c r="D22" s="32"/>
      <c r="E22" s="32"/>
      <c r="F22" s="18"/>
    </row>
    <row r="23" spans="1:7" x14ac:dyDescent="0.2">
      <c r="A23" s="38" t="s">
        <v>32</v>
      </c>
      <c r="B23" s="32"/>
      <c r="C23" s="32"/>
      <c r="D23" s="33"/>
      <c r="E23" s="33"/>
      <c r="F23" s="32"/>
    </row>
    <row r="24" spans="1:7" ht="13.5" thickBot="1" x14ac:dyDescent="0.25">
      <c r="A24" s="32"/>
      <c r="B24" s="32"/>
      <c r="C24" s="32"/>
      <c r="D24" s="33"/>
      <c r="E24" s="33"/>
      <c r="F24" s="32"/>
    </row>
    <row r="25" spans="1:7" x14ac:dyDescent="0.2">
      <c r="A25" s="39" t="s">
        <v>33</v>
      </c>
      <c r="B25" s="40" t="s">
        <v>34</v>
      </c>
      <c r="C25" s="40" t="s">
        <v>31</v>
      </c>
      <c r="D25" s="41" t="s">
        <v>35</v>
      </c>
      <c r="E25" s="32"/>
      <c r="F25" s="32"/>
    </row>
    <row r="26" spans="1:7" x14ac:dyDescent="0.2">
      <c r="A26" s="101" t="s">
        <v>36</v>
      </c>
      <c r="B26" s="110" t="s">
        <v>37</v>
      </c>
      <c r="C26" s="110">
        <v>1</v>
      </c>
      <c r="D26" s="44">
        <v>1830.23</v>
      </c>
      <c r="E26" s="102" t="s">
        <v>199</v>
      </c>
      <c r="F26" s="102"/>
      <c r="G26" t="s">
        <v>189</v>
      </c>
    </row>
    <row r="27" spans="1:7" ht="15" x14ac:dyDescent="0.2">
      <c r="A27" s="45" t="s">
        <v>38</v>
      </c>
      <c r="B27" s="46" t="s">
        <v>24</v>
      </c>
      <c r="C27" s="46">
        <v>40</v>
      </c>
      <c r="D27" s="44">
        <f>(C27/100)*D26</f>
        <v>732.0920000000001</v>
      </c>
      <c r="E27" s="32"/>
      <c r="F27" s="32"/>
    </row>
    <row r="28" spans="1:7" ht="15" x14ac:dyDescent="0.2">
      <c r="A28" s="103" t="s">
        <v>41</v>
      </c>
      <c r="B28" s="46" t="s">
        <v>42</v>
      </c>
      <c r="C28" s="46">
        <v>52</v>
      </c>
      <c r="D28" s="44">
        <f>((4.8*2)*26)-(D26*0.06)</f>
        <v>139.78620000000001</v>
      </c>
      <c r="E28" s="32"/>
      <c r="F28" s="32"/>
    </row>
    <row r="29" spans="1:7" x14ac:dyDescent="0.2">
      <c r="A29" s="42" t="s">
        <v>39</v>
      </c>
      <c r="B29" s="110" t="s">
        <v>24</v>
      </c>
      <c r="C29" s="47">
        <f>B89</f>
        <v>0.69789999999999996</v>
      </c>
      <c r="D29" s="44">
        <f>0.6979*(D26+D27)</f>
        <v>1788.2445238</v>
      </c>
      <c r="E29" s="32"/>
      <c r="F29" s="32"/>
    </row>
    <row r="30" spans="1:7" ht="13.5" thickBot="1" x14ac:dyDescent="0.25">
      <c r="A30" s="377" t="s">
        <v>44</v>
      </c>
      <c r="B30" s="378"/>
      <c r="C30" s="378"/>
      <c r="D30" s="50">
        <f>SUM(D26:D29)</f>
        <v>4490.3527238000006</v>
      </c>
      <c r="E30" s="32"/>
      <c r="F30" s="32"/>
    </row>
    <row r="31" spans="1:7" x14ac:dyDescent="0.2">
      <c r="A31" s="32"/>
      <c r="B31" s="32"/>
      <c r="C31" s="32"/>
      <c r="D31" s="33"/>
      <c r="E31" s="33"/>
      <c r="F31" s="32"/>
    </row>
    <row r="32" spans="1:7" x14ac:dyDescent="0.2">
      <c r="A32" s="38" t="s">
        <v>45</v>
      </c>
      <c r="B32" s="32"/>
      <c r="C32" s="32"/>
      <c r="D32" s="33"/>
      <c r="E32" s="33"/>
      <c r="F32" s="32"/>
    </row>
    <row r="33" spans="1:8" ht="13.5" thickBot="1" x14ac:dyDescent="0.25">
      <c r="A33" s="32"/>
      <c r="B33" s="32"/>
      <c r="C33" s="32"/>
      <c r="D33" s="33"/>
      <c r="E33" s="33"/>
      <c r="F33" s="32"/>
    </row>
    <row r="34" spans="1:8" x14ac:dyDescent="0.2">
      <c r="A34" s="39" t="s">
        <v>33</v>
      </c>
      <c r="B34" s="40" t="s">
        <v>34</v>
      </c>
      <c r="C34" s="40" t="s">
        <v>31</v>
      </c>
      <c r="D34" s="41" t="s">
        <v>46</v>
      </c>
      <c r="E34" s="41" t="s">
        <v>47</v>
      </c>
      <c r="F34" s="41" t="s">
        <v>48</v>
      </c>
      <c r="G34" s="41" t="s">
        <v>49</v>
      </c>
      <c r="H34" s="41" t="s">
        <v>50</v>
      </c>
    </row>
    <row r="35" spans="1:8" x14ac:dyDescent="0.2">
      <c r="A35" s="168" t="s">
        <v>181</v>
      </c>
      <c r="B35" s="110" t="s">
        <v>51</v>
      </c>
      <c r="C35" s="171">
        <v>132</v>
      </c>
      <c r="D35" s="51">
        <f>C35*F35</f>
        <v>1729.2</v>
      </c>
      <c r="E35" s="172">
        <f>D35/12</f>
        <v>144.1</v>
      </c>
      <c r="F35" s="172">
        <v>13.1</v>
      </c>
      <c r="G35" s="54">
        <v>1</v>
      </c>
      <c r="H35" s="14">
        <v>360</v>
      </c>
    </row>
    <row r="36" spans="1:8" ht="30" x14ac:dyDescent="0.2">
      <c r="A36" s="169" t="s">
        <v>182</v>
      </c>
      <c r="B36" s="110" t="s">
        <v>183</v>
      </c>
      <c r="C36" s="46">
        <v>7</v>
      </c>
      <c r="D36" s="51">
        <f t="shared" ref="D36:D41" si="0">C36*F36</f>
        <v>184.79999999999998</v>
      </c>
      <c r="E36" s="52">
        <f t="shared" ref="E36:E42" si="1">D36/12</f>
        <v>15.399999999999999</v>
      </c>
      <c r="F36" s="53">
        <v>26.4</v>
      </c>
      <c r="G36" s="54">
        <v>1</v>
      </c>
      <c r="H36" s="14">
        <v>60</v>
      </c>
    </row>
    <row r="37" spans="1:8" ht="15" x14ac:dyDescent="0.2">
      <c r="A37" s="101" t="s">
        <v>184</v>
      </c>
      <c r="B37" s="110" t="s">
        <v>52</v>
      </c>
      <c r="C37" s="46">
        <v>4</v>
      </c>
      <c r="D37" s="51">
        <f t="shared" si="0"/>
        <v>178.16</v>
      </c>
      <c r="E37" s="52">
        <f t="shared" si="1"/>
        <v>14.846666666666666</v>
      </c>
      <c r="F37" s="53">
        <v>44.54</v>
      </c>
      <c r="G37" s="54">
        <v>1</v>
      </c>
      <c r="H37" s="14">
        <v>90</v>
      </c>
    </row>
    <row r="38" spans="1:8" ht="15" x14ac:dyDescent="0.2">
      <c r="A38" s="107" t="s">
        <v>54</v>
      </c>
      <c r="B38" s="110" t="s">
        <v>51</v>
      </c>
      <c r="C38" s="110">
        <v>6</v>
      </c>
      <c r="D38" s="51">
        <f t="shared" si="0"/>
        <v>14.16</v>
      </c>
      <c r="E38" s="52">
        <f t="shared" si="1"/>
        <v>1.18</v>
      </c>
      <c r="F38" s="53">
        <v>2.36</v>
      </c>
      <c r="G38" s="54">
        <v>0.5</v>
      </c>
      <c r="H38" s="14">
        <v>60</v>
      </c>
    </row>
    <row r="39" spans="1:8" ht="15" x14ac:dyDescent="0.2">
      <c r="A39" s="170" t="s">
        <v>56</v>
      </c>
      <c r="B39" s="48" t="s">
        <v>51</v>
      </c>
      <c r="C39" s="48">
        <v>73</v>
      </c>
      <c r="D39" s="51">
        <f t="shared" si="0"/>
        <v>128.47999999999999</v>
      </c>
      <c r="E39" s="52">
        <f t="shared" si="1"/>
        <v>10.706666666666665</v>
      </c>
      <c r="F39" s="53">
        <v>1.76</v>
      </c>
      <c r="G39" s="54">
        <v>0.3</v>
      </c>
      <c r="H39" s="14">
        <v>20</v>
      </c>
    </row>
    <row r="40" spans="1:8" ht="15" x14ac:dyDescent="0.2">
      <c r="A40" s="170" t="s">
        <v>57</v>
      </c>
      <c r="B40" s="48" t="s">
        <v>51</v>
      </c>
      <c r="C40" s="48">
        <v>2</v>
      </c>
      <c r="D40" s="51">
        <f t="shared" si="0"/>
        <v>40.9</v>
      </c>
      <c r="E40" s="52">
        <f t="shared" si="1"/>
        <v>3.4083333333333332</v>
      </c>
      <c r="F40" s="53">
        <v>20.45</v>
      </c>
      <c r="G40" s="54">
        <v>0.5</v>
      </c>
      <c r="H40" s="14">
        <v>130</v>
      </c>
    </row>
    <row r="41" spans="1:8" ht="15" x14ac:dyDescent="0.2">
      <c r="A41" s="170" t="s">
        <v>58</v>
      </c>
      <c r="B41" s="48" t="s">
        <v>51</v>
      </c>
      <c r="C41" s="48">
        <v>2</v>
      </c>
      <c r="D41" s="51">
        <f t="shared" si="0"/>
        <v>64.5</v>
      </c>
      <c r="E41" s="52">
        <f t="shared" si="1"/>
        <v>5.375</v>
      </c>
      <c r="F41" s="53">
        <v>32.25</v>
      </c>
      <c r="G41" s="54">
        <v>0.2</v>
      </c>
      <c r="H41" s="14">
        <v>1</v>
      </c>
    </row>
    <row r="42" spans="1:8" ht="13.5" thickBot="1" x14ac:dyDescent="0.25">
      <c r="A42" s="377" t="s">
        <v>60</v>
      </c>
      <c r="B42" s="378"/>
      <c r="C42" s="378"/>
      <c r="D42" s="55">
        <f>SUM(D35:D41)</f>
        <v>2340.1999999999998</v>
      </c>
      <c r="E42" s="55">
        <f t="shared" si="1"/>
        <v>195.01666666666665</v>
      </c>
      <c r="F42" s="56"/>
    </row>
    <row r="43" spans="1:8" ht="13.5" thickBot="1" x14ac:dyDescent="0.25">
      <c r="A43" s="32"/>
      <c r="B43" s="32"/>
      <c r="C43" s="32"/>
      <c r="D43" s="33"/>
      <c r="E43" s="33"/>
      <c r="F43" s="32"/>
    </row>
    <row r="44" spans="1:8" ht="13.5" thickBot="1" x14ac:dyDescent="0.25">
      <c r="A44" s="57" t="s">
        <v>61</v>
      </c>
      <c r="B44" s="58"/>
      <c r="C44" s="58"/>
      <c r="D44" s="59">
        <f>D30+E42</f>
        <v>4685.369390466667</v>
      </c>
      <c r="E44" s="32"/>
      <c r="F44" s="32"/>
    </row>
    <row r="45" spans="1:8" x14ac:dyDescent="0.2">
      <c r="A45" s="32"/>
      <c r="B45" s="32"/>
      <c r="C45" s="32"/>
      <c r="D45" s="33"/>
      <c r="E45" s="32"/>
      <c r="F45" s="32"/>
    </row>
    <row r="46" spans="1:8" x14ac:dyDescent="0.2">
      <c r="A46" s="38" t="s">
        <v>62</v>
      </c>
      <c r="B46" s="32"/>
      <c r="C46" s="32"/>
      <c r="D46" s="33"/>
      <c r="E46" s="32"/>
      <c r="F46" s="32"/>
    </row>
    <row r="47" spans="1:8" ht="13.5" thickBot="1" x14ac:dyDescent="0.25">
      <c r="A47" s="32"/>
      <c r="B47" s="32"/>
      <c r="C47" s="32"/>
      <c r="D47" s="33"/>
      <c r="E47" s="32"/>
      <c r="F47" s="32"/>
    </row>
    <row r="48" spans="1:8" x14ac:dyDescent="0.2">
      <c r="A48" s="39" t="s">
        <v>33</v>
      </c>
      <c r="B48" s="40" t="s">
        <v>34</v>
      </c>
      <c r="C48" s="40" t="s">
        <v>31</v>
      </c>
      <c r="D48" s="41" t="s">
        <v>35</v>
      </c>
      <c r="E48" s="32"/>
      <c r="F48" s="32"/>
    </row>
    <row r="49" spans="1:6" ht="13.5" thickBot="1" x14ac:dyDescent="0.25">
      <c r="A49" s="60" t="s">
        <v>63</v>
      </c>
      <c r="B49" s="111" t="s">
        <v>24</v>
      </c>
      <c r="C49" s="111">
        <v>22.19</v>
      </c>
      <c r="D49" s="55">
        <f>(C49/100)*D44</f>
        <v>1039.6834677445536</v>
      </c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ht="13.5" thickBot="1" x14ac:dyDescent="0.25">
      <c r="A51" s="390" t="s">
        <v>64</v>
      </c>
      <c r="B51" s="391"/>
      <c r="C51" s="392"/>
      <c r="D51" s="59">
        <f>D44+D49</f>
        <v>5725.0528582112202</v>
      </c>
      <c r="E51" s="32"/>
      <c r="F51" s="32"/>
    </row>
    <row r="52" spans="1:6" ht="15.75" x14ac:dyDescent="0.2">
      <c r="A52" s="62"/>
      <c r="B52" s="62"/>
      <c r="C52" s="62"/>
      <c r="D52" s="63"/>
      <c r="E52" s="63"/>
      <c r="F52" s="32"/>
    </row>
    <row r="53" spans="1:6" ht="15.75" x14ac:dyDescent="0.2">
      <c r="A53" s="64" t="s">
        <v>39</v>
      </c>
      <c r="B53" s="33"/>
      <c r="C53" s="33"/>
      <c r="D53" s="33"/>
      <c r="E53" s="33"/>
      <c r="F53" s="18"/>
    </row>
    <row r="54" spans="1:6" x14ac:dyDescent="0.2">
      <c r="A54" s="65"/>
      <c r="B54" s="66"/>
      <c r="C54" s="37"/>
      <c r="D54" s="33"/>
      <c r="E54" s="67"/>
      <c r="F54" s="38"/>
    </row>
    <row r="55" spans="1:6" x14ac:dyDescent="0.2">
      <c r="A55" s="68" t="s">
        <v>65</v>
      </c>
      <c r="B55" s="69"/>
      <c r="C55" s="37"/>
      <c r="D55" s="33"/>
      <c r="E55" s="70"/>
      <c r="F55" s="71"/>
    </row>
    <row r="56" spans="1:6" ht="15" x14ac:dyDescent="0.2">
      <c r="A56" s="72" t="s">
        <v>66</v>
      </c>
      <c r="B56" s="73">
        <v>0.2</v>
      </c>
      <c r="C56" s="37"/>
      <c r="D56" s="33"/>
      <c r="E56" s="33"/>
      <c r="F56" s="18"/>
    </row>
    <row r="57" spans="1:6" ht="15" x14ac:dyDescent="0.2">
      <c r="A57" s="72" t="s">
        <v>67</v>
      </c>
      <c r="B57" s="73">
        <v>1.4999999999999999E-2</v>
      </c>
      <c r="C57" s="37"/>
      <c r="D57" s="33"/>
      <c r="E57" s="33"/>
      <c r="F57" s="18"/>
    </row>
    <row r="58" spans="1:6" ht="15" x14ac:dyDescent="0.2">
      <c r="A58" s="72" t="s">
        <v>68</v>
      </c>
      <c r="B58" s="73">
        <v>0.01</v>
      </c>
      <c r="C58" s="37"/>
      <c r="D58" s="33"/>
      <c r="E58" s="33"/>
      <c r="F58" s="18"/>
    </row>
    <row r="59" spans="1:6" ht="15" x14ac:dyDescent="0.2">
      <c r="A59" s="72" t="s">
        <v>69</v>
      </c>
      <c r="B59" s="73">
        <v>2E-3</v>
      </c>
      <c r="C59" s="37"/>
      <c r="D59" s="33"/>
      <c r="E59" s="33"/>
      <c r="F59" s="18"/>
    </row>
    <row r="60" spans="1:6" ht="15" x14ac:dyDescent="0.2">
      <c r="A60" s="72" t="s">
        <v>70</v>
      </c>
      <c r="B60" s="73">
        <v>6.0000000000000001E-3</v>
      </c>
      <c r="C60" s="37"/>
      <c r="D60" s="33"/>
      <c r="E60" s="33"/>
      <c r="F60" s="18"/>
    </row>
    <row r="61" spans="1:6" ht="15" x14ac:dyDescent="0.2">
      <c r="A61" s="72" t="s">
        <v>71</v>
      </c>
      <c r="B61" s="73">
        <v>2.5000000000000001E-2</v>
      </c>
      <c r="C61" s="37"/>
      <c r="D61" s="33"/>
      <c r="E61" s="33"/>
      <c r="F61" s="18"/>
    </row>
    <row r="62" spans="1:6" ht="15" x14ac:dyDescent="0.2">
      <c r="A62" s="72" t="s">
        <v>72</v>
      </c>
      <c r="B62" s="73">
        <v>0.03</v>
      </c>
      <c r="C62" s="37"/>
      <c r="D62" s="33"/>
      <c r="E62" s="33"/>
      <c r="F62" s="18"/>
    </row>
    <row r="63" spans="1:6" ht="15" x14ac:dyDescent="0.2">
      <c r="A63" s="72" t="s">
        <v>73</v>
      </c>
      <c r="B63" s="73">
        <v>0.08</v>
      </c>
      <c r="C63" s="37"/>
      <c r="D63" s="33"/>
      <c r="E63" s="33"/>
      <c r="F63" s="18"/>
    </row>
    <row r="64" spans="1:6" x14ac:dyDescent="0.2">
      <c r="A64" s="74" t="s">
        <v>74</v>
      </c>
      <c r="B64" s="75">
        <f>SUM(B56:B63)</f>
        <v>0.36800000000000005</v>
      </c>
      <c r="C64" s="37"/>
      <c r="D64" s="33"/>
      <c r="E64" s="67"/>
      <c r="F64" s="38"/>
    </row>
    <row r="65" spans="1:6" x14ac:dyDescent="0.2">
      <c r="A65" s="32"/>
      <c r="B65" s="32"/>
      <c r="C65" s="32"/>
      <c r="D65" s="33"/>
      <c r="E65" s="33"/>
      <c r="F65" s="32"/>
    </row>
    <row r="66" spans="1:6" x14ac:dyDescent="0.2">
      <c r="A66" s="68" t="s">
        <v>75</v>
      </c>
      <c r="B66" s="76"/>
      <c r="C66" s="37"/>
      <c r="D66" s="33"/>
      <c r="E66" s="70"/>
      <c r="F66" s="71"/>
    </row>
    <row r="67" spans="1:6" ht="15" x14ac:dyDescent="0.2">
      <c r="A67" s="72" t="s">
        <v>76</v>
      </c>
      <c r="B67" s="73">
        <v>6.4000000000000003E-3</v>
      </c>
      <c r="C67" s="37"/>
      <c r="D67" s="33"/>
      <c r="E67" s="33"/>
      <c r="F67" s="18"/>
    </row>
    <row r="68" spans="1:6" ht="15" x14ac:dyDescent="0.2">
      <c r="A68" s="72" t="s">
        <v>77</v>
      </c>
      <c r="B68" s="73">
        <v>8.3299999999999999E-2</v>
      </c>
      <c r="C68" s="37"/>
      <c r="D68" s="33"/>
      <c r="E68" s="33"/>
      <c r="F68" s="18"/>
    </row>
    <row r="69" spans="1:6" ht="15" x14ac:dyDescent="0.2">
      <c r="A69" s="72" t="s">
        <v>78</v>
      </c>
      <c r="B69" s="73">
        <v>4.0000000000000002E-4</v>
      </c>
      <c r="C69" s="37"/>
      <c r="D69" s="33"/>
      <c r="E69" s="33"/>
      <c r="F69" s="18"/>
    </row>
    <row r="70" spans="1:6" x14ac:dyDescent="0.2">
      <c r="A70" s="72" t="s">
        <v>79</v>
      </c>
      <c r="B70" s="73">
        <v>5.5999999999999999E-3</v>
      </c>
      <c r="C70" s="37"/>
      <c r="D70" s="33"/>
      <c r="E70" s="67"/>
      <c r="F70" s="38"/>
    </row>
    <row r="71" spans="1:6" x14ac:dyDescent="0.2">
      <c r="A71" s="72" t="s">
        <v>80</v>
      </c>
      <c r="B71" s="73">
        <v>8.0000000000000004E-4</v>
      </c>
      <c r="C71" s="32"/>
      <c r="D71" s="33"/>
      <c r="E71" s="33"/>
      <c r="F71" s="32"/>
    </row>
    <row r="72" spans="1:6" x14ac:dyDescent="0.2">
      <c r="A72" s="72" t="s">
        <v>81</v>
      </c>
      <c r="B72" s="73">
        <v>8.7400000000000005E-2</v>
      </c>
      <c r="C72" s="77"/>
      <c r="D72" s="20"/>
      <c r="E72" s="70"/>
      <c r="F72" s="71"/>
    </row>
    <row r="73" spans="1:6" x14ac:dyDescent="0.2">
      <c r="A73" s="72" t="s">
        <v>82</v>
      </c>
      <c r="B73" s="73">
        <v>2.9999999999999997E-4</v>
      </c>
      <c r="C73" s="77"/>
      <c r="D73" s="20"/>
      <c r="E73" s="70"/>
      <c r="F73" s="71"/>
    </row>
    <row r="74" spans="1:6" ht="15" x14ac:dyDescent="0.2">
      <c r="A74" s="74" t="s">
        <v>74</v>
      </c>
      <c r="B74" s="75">
        <f>SUM(B67:B73)</f>
        <v>0.1842</v>
      </c>
      <c r="C74" s="37"/>
      <c r="D74" s="33"/>
      <c r="E74" s="33"/>
      <c r="F74" s="18"/>
    </row>
    <row r="75" spans="1:6" ht="15" x14ac:dyDescent="0.2">
      <c r="A75" s="72"/>
      <c r="B75" s="73"/>
      <c r="C75" s="37"/>
      <c r="D75" s="33"/>
      <c r="E75" s="33"/>
      <c r="F75" s="18"/>
    </row>
    <row r="76" spans="1:6" ht="15" x14ac:dyDescent="0.25">
      <c r="A76" s="68" t="s">
        <v>83</v>
      </c>
      <c r="B76" s="76"/>
      <c r="C76" s="37"/>
      <c r="D76" s="38"/>
      <c r="E76" s="78"/>
      <c r="F76" s="38"/>
    </row>
    <row r="77" spans="1:6" ht="15" x14ac:dyDescent="0.25">
      <c r="A77" s="72" t="s">
        <v>84</v>
      </c>
      <c r="B77" s="73">
        <v>3.4700000000000002E-2</v>
      </c>
      <c r="C77" s="32"/>
      <c r="D77" s="78"/>
      <c r="E77" s="78"/>
      <c r="F77" s="32"/>
    </row>
    <row r="78" spans="1:6" ht="15" x14ac:dyDescent="0.25">
      <c r="A78" s="72" t="s">
        <v>85</v>
      </c>
      <c r="B78" s="73">
        <v>8.0000000000000004E-4</v>
      </c>
      <c r="C78" s="32"/>
      <c r="D78" s="78"/>
      <c r="E78" s="78"/>
      <c r="F78" s="32"/>
    </row>
    <row r="79" spans="1:6" ht="15" x14ac:dyDescent="0.25">
      <c r="A79" s="72" t="s">
        <v>86</v>
      </c>
      <c r="B79" s="73">
        <v>1.7100000000000001E-2</v>
      </c>
      <c r="C79" s="77"/>
      <c r="D79" s="78"/>
      <c r="E79" s="78"/>
      <c r="F79" s="71"/>
    </row>
    <row r="80" spans="1:6" ht="15" x14ac:dyDescent="0.25">
      <c r="A80" s="72" t="s">
        <v>87</v>
      </c>
      <c r="B80" s="73">
        <v>1.9300000000000001E-2</v>
      </c>
      <c r="C80" s="37"/>
      <c r="D80" s="78"/>
      <c r="E80" s="78"/>
      <c r="F80" s="18"/>
    </row>
    <row r="81" spans="1:6" ht="15" x14ac:dyDescent="0.25">
      <c r="A81" s="72" t="s">
        <v>88</v>
      </c>
      <c r="B81" s="73">
        <v>2.8999999999999998E-3</v>
      </c>
      <c r="C81" s="37"/>
      <c r="D81" s="78"/>
      <c r="E81" s="78"/>
      <c r="F81" s="18"/>
    </row>
    <row r="82" spans="1:6" ht="15" x14ac:dyDescent="0.25">
      <c r="A82" s="74" t="s">
        <v>74</v>
      </c>
      <c r="B82" s="75">
        <f>SUM(B77:B81)</f>
        <v>7.4800000000000005E-2</v>
      </c>
      <c r="C82" s="37"/>
      <c r="D82" s="78"/>
      <c r="E82" s="78"/>
      <c r="F82" s="18"/>
    </row>
    <row r="83" spans="1:6" ht="15" x14ac:dyDescent="0.25">
      <c r="A83" s="72"/>
      <c r="B83" s="73"/>
      <c r="C83" s="37"/>
      <c r="D83" s="78"/>
      <c r="E83" s="78"/>
      <c r="F83" s="18"/>
    </row>
    <row r="84" spans="1:6" ht="15" x14ac:dyDescent="0.25">
      <c r="A84" s="68" t="s">
        <v>89</v>
      </c>
      <c r="B84" s="73"/>
      <c r="C84" s="37"/>
      <c r="D84" s="78"/>
      <c r="E84" s="78"/>
      <c r="F84" s="18"/>
    </row>
    <row r="85" spans="1:6" ht="15" x14ac:dyDescent="0.25">
      <c r="A85" s="72" t="s">
        <v>90</v>
      </c>
      <c r="B85" s="73">
        <v>6.7799999999999999E-2</v>
      </c>
      <c r="C85" s="37"/>
      <c r="D85" s="78"/>
      <c r="E85" s="78"/>
      <c r="F85" s="18"/>
    </row>
    <row r="86" spans="1:6" ht="15" x14ac:dyDescent="0.25">
      <c r="A86" s="72" t="s">
        <v>91</v>
      </c>
      <c r="B86" s="73">
        <v>3.0999999999999999E-3</v>
      </c>
      <c r="C86" s="37"/>
      <c r="D86" s="78"/>
      <c r="E86" s="78"/>
      <c r="F86" s="18"/>
    </row>
    <row r="87" spans="1:6" ht="15" x14ac:dyDescent="0.25">
      <c r="A87" s="74" t="s">
        <v>74</v>
      </c>
      <c r="B87" s="75">
        <f>SUM(B85:B86)</f>
        <v>7.0900000000000005E-2</v>
      </c>
      <c r="C87" s="37"/>
      <c r="D87" s="78"/>
      <c r="E87" s="78"/>
      <c r="F87" s="18"/>
    </row>
    <row r="88" spans="1:6" ht="15" x14ac:dyDescent="0.25">
      <c r="A88" s="32"/>
      <c r="B88" s="32"/>
      <c r="C88" s="32"/>
      <c r="D88" s="78"/>
      <c r="E88" s="78"/>
      <c r="F88" s="32"/>
    </row>
    <row r="89" spans="1:6" ht="15" x14ac:dyDescent="0.25">
      <c r="A89" s="74" t="s">
        <v>92</v>
      </c>
      <c r="B89" s="75">
        <f>B64+B74+B82+B87</f>
        <v>0.69789999999999996</v>
      </c>
      <c r="C89" s="77"/>
      <c r="D89" s="78"/>
      <c r="E89" s="78"/>
      <c r="F89" s="38"/>
    </row>
    <row r="90" spans="1:6" x14ac:dyDescent="0.2">
      <c r="A90" s="32"/>
      <c r="B90" s="32"/>
      <c r="C90" s="32"/>
      <c r="D90" s="33"/>
      <c r="E90" s="33"/>
      <c r="F90" s="32"/>
    </row>
    <row r="91" spans="1:6" x14ac:dyDescent="0.2">
      <c r="A91" s="79" t="s">
        <v>93</v>
      </c>
      <c r="B91" s="32"/>
      <c r="C91" s="32"/>
      <c r="D91" s="33"/>
      <c r="E91" s="33"/>
      <c r="F91" s="32"/>
    </row>
    <row r="92" spans="1:6" ht="13.5" thickBot="1" x14ac:dyDescent="0.25">
      <c r="A92" s="79"/>
      <c r="B92" s="32"/>
      <c r="C92" s="32"/>
      <c r="D92" s="33"/>
      <c r="E92" s="33"/>
      <c r="F92" s="32"/>
    </row>
    <row r="93" spans="1:6" x14ac:dyDescent="0.2">
      <c r="A93" s="80" t="s">
        <v>94</v>
      </c>
      <c r="B93" s="81" t="s">
        <v>95</v>
      </c>
      <c r="C93" s="82">
        <v>0.05</v>
      </c>
      <c r="D93" s="33"/>
      <c r="E93" s="33"/>
      <c r="F93" s="32"/>
    </row>
    <row r="94" spans="1:6" x14ac:dyDescent="0.2">
      <c r="A94" s="83" t="s">
        <v>96</v>
      </c>
      <c r="B94" s="110" t="s">
        <v>97</v>
      </c>
      <c r="C94" s="84">
        <v>2.5000000000000001E-3</v>
      </c>
      <c r="D94" s="85"/>
      <c r="E94" s="33"/>
      <c r="F94" s="32"/>
    </row>
    <row r="95" spans="1:6" x14ac:dyDescent="0.2">
      <c r="A95" s="83" t="s">
        <v>98</v>
      </c>
      <c r="B95" s="110" t="s">
        <v>99</v>
      </c>
      <c r="C95" s="84">
        <v>0.05</v>
      </c>
      <c r="D95" s="33"/>
      <c r="E95" s="33"/>
      <c r="F95" s="32"/>
    </row>
    <row r="96" spans="1:6" x14ac:dyDescent="0.2">
      <c r="A96" s="83" t="s">
        <v>100</v>
      </c>
      <c r="B96" s="110" t="s">
        <v>101</v>
      </c>
      <c r="C96" s="84">
        <v>0.01</v>
      </c>
      <c r="D96" s="33"/>
      <c r="E96" s="33"/>
      <c r="F96" s="32"/>
    </row>
    <row r="97" spans="1:6" x14ac:dyDescent="0.2">
      <c r="A97" s="86" t="s">
        <v>102</v>
      </c>
      <c r="B97" s="331" t="s">
        <v>103</v>
      </c>
      <c r="C97" s="84">
        <v>0.05</v>
      </c>
      <c r="D97" s="33"/>
      <c r="E97" s="33"/>
      <c r="F97" s="32"/>
    </row>
    <row r="98" spans="1:6" ht="13.5" thickBot="1" x14ac:dyDescent="0.25">
      <c r="A98" s="109" t="s">
        <v>104</v>
      </c>
      <c r="B98" s="332"/>
      <c r="C98" s="90">
        <v>3.6499999999999998E-2</v>
      </c>
      <c r="D98" s="33"/>
      <c r="E98" s="33"/>
      <c r="F98" s="32"/>
    </row>
    <row r="99" spans="1:6" x14ac:dyDescent="0.2">
      <c r="A99" s="91" t="s">
        <v>105</v>
      </c>
      <c r="B99" s="92"/>
      <c r="C99" s="93"/>
      <c r="D99" s="33"/>
      <c r="E99" s="33"/>
      <c r="F99" s="32"/>
    </row>
    <row r="100" spans="1:6" ht="13.5" thickBot="1" x14ac:dyDescent="0.25">
      <c r="A100" s="94" t="s">
        <v>106</v>
      </c>
      <c r="B100" s="95"/>
      <c r="C100" s="96"/>
      <c r="D100" s="33"/>
      <c r="E100" s="33"/>
      <c r="F100" s="32"/>
    </row>
    <row r="101" spans="1:6" ht="13.5" thickBot="1" x14ac:dyDescent="0.25">
      <c r="A101" s="97" t="s">
        <v>107</v>
      </c>
      <c r="B101" s="98"/>
      <c r="C101" s="99">
        <f>ROUND((((1+C93+C94)*(1+C95)*(1+C96))/(1-(C97+C98))-1),4)</f>
        <v>0.22189999999999999</v>
      </c>
      <c r="D101" s="33"/>
      <c r="E101" s="33"/>
      <c r="F101" s="32"/>
    </row>
    <row r="102" spans="1:6" x14ac:dyDescent="0.2">
      <c r="A102" s="32"/>
      <c r="B102" s="32"/>
      <c r="C102" s="32"/>
      <c r="D102" s="33"/>
      <c r="E102" s="33"/>
      <c r="F102" s="32"/>
    </row>
    <row r="103" spans="1:6" x14ac:dyDescent="0.2">
      <c r="A103" s="393" t="s">
        <v>200</v>
      </c>
      <c r="B103" s="394"/>
      <c r="C103" s="395"/>
      <c r="D103" s="33"/>
      <c r="E103" s="33"/>
      <c r="F103" s="32"/>
    </row>
    <row r="104" spans="1:6" x14ac:dyDescent="0.2">
      <c r="A104" s="396"/>
      <c r="B104" s="397"/>
      <c r="C104" s="398"/>
      <c r="D104" s="33"/>
      <c r="E104" s="33"/>
      <c r="F104" s="32"/>
    </row>
    <row r="105" spans="1:6" x14ac:dyDescent="0.2">
      <c r="A105" s="396"/>
      <c r="B105" s="397"/>
      <c r="C105" s="398"/>
      <c r="D105" s="33"/>
      <c r="E105" s="33"/>
      <c r="F105" s="32"/>
    </row>
    <row r="106" spans="1:6" x14ac:dyDescent="0.2">
      <c r="A106" s="399"/>
      <c r="B106" s="400"/>
      <c r="C106" s="401"/>
      <c r="D106" s="33"/>
      <c r="E106" s="33"/>
      <c r="F106" s="32"/>
    </row>
    <row r="107" spans="1:6" x14ac:dyDescent="0.2">
      <c r="A107" s="100"/>
      <c r="B107" s="100"/>
      <c r="C107" s="100"/>
      <c r="D107" s="33"/>
      <c r="E107" s="33"/>
      <c r="F107" s="32"/>
    </row>
    <row r="108" spans="1:6" ht="15" x14ac:dyDescent="0.25">
      <c r="A108" s="278"/>
      <c r="B108" s="278"/>
      <c r="C108" s="100"/>
      <c r="D108" s="33"/>
      <c r="E108" s="33"/>
      <c r="F108" s="32"/>
    </row>
    <row r="109" spans="1:6" ht="15" x14ac:dyDescent="0.25">
      <c r="A109" s="278"/>
      <c r="B109" s="278"/>
      <c r="C109" s="100"/>
      <c r="D109" s="33"/>
      <c r="E109" s="33"/>
      <c r="F109" s="32"/>
    </row>
  </sheetData>
  <mergeCells count="17">
    <mergeCell ref="A42:C42"/>
    <mergeCell ref="A1:D1"/>
    <mergeCell ref="A3:D8"/>
    <mergeCell ref="B11:C11"/>
    <mergeCell ref="B12:C12"/>
    <mergeCell ref="B13:C13"/>
    <mergeCell ref="B14:C14"/>
    <mergeCell ref="B15:C15"/>
    <mergeCell ref="A17:C17"/>
    <mergeCell ref="A20:C20"/>
    <mergeCell ref="A21:C21"/>
    <mergeCell ref="A30:C30"/>
    <mergeCell ref="A51:C51"/>
    <mergeCell ref="B97:B98"/>
    <mergeCell ref="A103:C106"/>
    <mergeCell ref="A108:B108"/>
    <mergeCell ref="A109:B1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>
      <selection activeCell="D11" sqref="D11"/>
    </sheetView>
  </sheetViews>
  <sheetFormatPr defaultRowHeight="12.75" x14ac:dyDescent="0.2"/>
  <cols>
    <col min="1" max="1" width="42" customWidth="1"/>
    <col min="3" max="3" width="16" customWidth="1"/>
    <col min="4" max="4" width="180.42578125" customWidth="1"/>
    <col min="5" max="5" width="12.28515625" customWidth="1"/>
    <col min="6" max="6" width="20.42578125" customWidth="1"/>
    <col min="7" max="7" width="19.85546875" customWidth="1"/>
  </cols>
  <sheetData>
    <row r="1" spans="1:6" ht="15" x14ac:dyDescent="0.2">
      <c r="A1" s="18"/>
      <c r="B1" s="19"/>
      <c r="C1" s="19"/>
      <c r="D1" s="20"/>
      <c r="E1" s="20"/>
      <c r="F1" s="18"/>
    </row>
    <row r="2" spans="1:6" ht="15" x14ac:dyDescent="0.2">
      <c r="A2" s="379" t="s">
        <v>114</v>
      </c>
      <c r="B2" s="379"/>
      <c r="C2" s="379"/>
      <c r="D2" s="379"/>
      <c r="E2" s="21"/>
      <c r="F2" s="21"/>
    </row>
    <row r="3" spans="1:6" ht="15" x14ac:dyDescent="0.2">
      <c r="A3" s="18"/>
      <c r="B3" s="19"/>
      <c r="C3" s="19"/>
      <c r="D3" s="22"/>
      <c r="E3" s="22"/>
      <c r="F3" s="18"/>
    </row>
    <row r="4" spans="1:6" ht="15" x14ac:dyDescent="0.2">
      <c r="A4" s="380" t="s">
        <v>120</v>
      </c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356.25" customHeight="1" x14ac:dyDescent="0.2">
      <c r="A9" s="380"/>
      <c r="B9" s="380"/>
      <c r="C9" s="380"/>
      <c r="D9" s="380"/>
      <c r="E9" s="22"/>
      <c r="F9" s="18"/>
    </row>
    <row r="10" spans="1:6" ht="15" x14ac:dyDescent="0.2">
      <c r="A10" s="18"/>
      <c r="B10" s="19"/>
      <c r="C10" s="19"/>
      <c r="D10" s="22"/>
      <c r="E10" s="22"/>
      <c r="F10" s="18"/>
    </row>
    <row r="11" spans="1:6" ht="15.75" thickBot="1" x14ac:dyDescent="0.25">
      <c r="A11" s="23" t="s">
        <v>21</v>
      </c>
      <c r="B11" s="20"/>
      <c r="C11" s="20"/>
      <c r="D11" s="24">
        <v>46008</v>
      </c>
      <c r="E11" s="18"/>
      <c r="F11" s="18"/>
    </row>
    <row r="12" spans="1:6" ht="15" x14ac:dyDescent="0.2">
      <c r="A12" s="25" t="s">
        <v>22</v>
      </c>
      <c r="B12" s="381" t="s">
        <v>23</v>
      </c>
      <c r="C12" s="381"/>
      <c r="D12" s="26" t="s">
        <v>24</v>
      </c>
      <c r="E12" s="18"/>
      <c r="F12" s="18"/>
    </row>
    <row r="13" spans="1:6" ht="15" x14ac:dyDescent="0.2">
      <c r="A13" s="27" t="s">
        <v>25</v>
      </c>
      <c r="B13" s="283">
        <f>D33</f>
        <v>4793.8058236000006</v>
      </c>
      <c r="C13" s="284"/>
      <c r="D13" s="28">
        <f>+B13/D$54</f>
        <v>0.78721683271392451</v>
      </c>
      <c r="E13" s="18"/>
      <c r="F13" s="18"/>
    </row>
    <row r="14" spans="1:6" ht="15" x14ac:dyDescent="0.2">
      <c r="A14" s="27" t="s">
        <v>26</v>
      </c>
      <c r="B14" s="283">
        <f>E45</f>
        <v>189.87708333333333</v>
      </c>
      <c r="C14" s="284"/>
      <c r="D14" s="28">
        <f>+B14/D$54</f>
        <v>3.1180744829245891E-2</v>
      </c>
      <c r="E14" s="18"/>
      <c r="F14" s="18"/>
    </row>
    <row r="15" spans="1:6" ht="15.75" thickBot="1" x14ac:dyDescent="0.25">
      <c r="A15" s="29" t="s">
        <v>27</v>
      </c>
      <c r="B15" s="283">
        <f>D52</f>
        <v>1105.8792370485069</v>
      </c>
      <c r="C15" s="284"/>
      <c r="D15" s="28">
        <f>+B15/D$54</f>
        <v>0.1816024224568295</v>
      </c>
      <c r="E15" s="18"/>
      <c r="F15" s="18"/>
    </row>
    <row r="16" spans="1:6" ht="15.75" thickBot="1" x14ac:dyDescent="0.25">
      <c r="A16" s="30" t="s">
        <v>118</v>
      </c>
      <c r="B16" s="285">
        <f>SUM(B13:C15)</f>
        <v>6089.5621439818415</v>
      </c>
      <c r="C16" s="286"/>
      <c r="D16" s="31">
        <f>SUM(D13:D15)</f>
        <v>1</v>
      </c>
      <c r="E16" s="18"/>
      <c r="F16" s="18"/>
    </row>
    <row r="17" spans="1:6" ht="13.5" thickBot="1" x14ac:dyDescent="0.25">
      <c r="A17" s="32"/>
      <c r="B17" s="32"/>
      <c r="C17" s="32"/>
      <c r="D17" s="33"/>
      <c r="E17" s="33"/>
      <c r="F17" s="32"/>
    </row>
    <row r="18" spans="1:6" ht="13.5" thickBot="1" x14ac:dyDescent="0.25">
      <c r="A18" s="382" t="s">
        <v>28</v>
      </c>
      <c r="B18" s="383"/>
      <c r="C18" s="383"/>
      <c r="D18" s="34">
        <f>B16/220</f>
        <v>27.679827927190189</v>
      </c>
      <c r="E18" s="33"/>
      <c r="F18" s="32"/>
    </row>
    <row r="19" spans="1:6" x14ac:dyDescent="0.2">
      <c r="A19" s="32"/>
      <c r="B19" s="32"/>
      <c r="C19" s="32"/>
      <c r="D19" s="33"/>
      <c r="E19" s="33"/>
      <c r="F19" s="32"/>
    </row>
    <row r="20" spans="1:6" ht="15.75" thickBot="1" x14ac:dyDescent="0.25">
      <c r="A20" s="23" t="s">
        <v>29</v>
      </c>
      <c r="B20" s="33"/>
      <c r="C20" s="33"/>
      <c r="D20" s="33"/>
      <c r="E20" s="33"/>
      <c r="F20" s="18"/>
    </row>
    <row r="21" spans="1:6" ht="15" x14ac:dyDescent="0.2">
      <c r="A21" s="384" t="s">
        <v>30</v>
      </c>
      <c r="B21" s="385"/>
      <c r="C21" s="386"/>
      <c r="D21" s="35" t="s">
        <v>31</v>
      </c>
      <c r="E21" s="18"/>
      <c r="F21" s="18"/>
    </row>
    <row r="22" spans="1:6" ht="15.75" thickBot="1" x14ac:dyDescent="0.25">
      <c r="A22" s="387" t="s">
        <v>117</v>
      </c>
      <c r="B22" s="388"/>
      <c r="C22" s="389"/>
      <c r="D22" s="108">
        <v>1</v>
      </c>
      <c r="E22" s="18"/>
      <c r="F22" s="18"/>
    </row>
    <row r="23" spans="1:6" ht="15" x14ac:dyDescent="0.2">
      <c r="A23" s="37"/>
      <c r="B23" s="37"/>
      <c r="C23" s="37"/>
      <c r="D23" s="32"/>
      <c r="E23" s="32"/>
      <c r="F23" s="18"/>
    </row>
    <row r="24" spans="1:6" x14ac:dyDescent="0.2">
      <c r="A24" s="38" t="s">
        <v>32</v>
      </c>
      <c r="B24" s="32"/>
      <c r="C24" s="32"/>
      <c r="D24" s="33"/>
      <c r="E24" s="33"/>
      <c r="F24" s="32"/>
    </row>
    <row r="25" spans="1:6" ht="13.5" thickBot="1" x14ac:dyDescent="0.25">
      <c r="A25" s="32"/>
      <c r="B25" s="32"/>
      <c r="C25" s="32"/>
      <c r="D25" s="33"/>
      <c r="E25" s="33"/>
      <c r="F25" s="32"/>
    </row>
    <row r="26" spans="1:6" x14ac:dyDescent="0.2">
      <c r="A26" s="39" t="s">
        <v>33</v>
      </c>
      <c r="B26" s="40" t="s">
        <v>34</v>
      </c>
      <c r="C26" s="40" t="s">
        <v>31</v>
      </c>
      <c r="D26" s="41" t="s">
        <v>35</v>
      </c>
      <c r="E26" s="32"/>
      <c r="F26" s="32"/>
    </row>
    <row r="27" spans="1:6" x14ac:dyDescent="0.2">
      <c r="A27" s="101" t="s">
        <v>36</v>
      </c>
      <c r="B27" s="87" t="s">
        <v>37</v>
      </c>
      <c r="C27" s="87">
        <v>1</v>
      </c>
      <c r="D27" s="44">
        <v>2015.07</v>
      </c>
      <c r="E27" s="102"/>
      <c r="F27" s="102"/>
    </row>
    <row r="28" spans="1:6" ht="15" x14ac:dyDescent="0.2">
      <c r="A28" s="107" t="s">
        <v>38</v>
      </c>
      <c r="B28" s="46" t="s">
        <v>24</v>
      </c>
      <c r="C28" s="46">
        <v>20</v>
      </c>
      <c r="D28" s="44">
        <f>0.2*D27</f>
        <v>403.01400000000001</v>
      </c>
      <c r="E28" s="32"/>
      <c r="F28" s="32"/>
    </row>
    <row r="29" spans="1:6" x14ac:dyDescent="0.2">
      <c r="A29" s="42" t="s">
        <v>39</v>
      </c>
      <c r="B29" s="87" t="s">
        <v>24</v>
      </c>
      <c r="C29" s="47">
        <f>B92</f>
        <v>0.69789999999999996</v>
      </c>
      <c r="D29" s="44">
        <f>0.6979*(D27+D28)</f>
        <v>1687.5808235999998</v>
      </c>
      <c r="E29" s="32"/>
      <c r="F29" s="32"/>
    </row>
    <row r="30" spans="1:6" x14ac:dyDescent="0.2">
      <c r="A30" s="101" t="s">
        <v>40</v>
      </c>
      <c r="B30" s="87" t="s">
        <v>37</v>
      </c>
      <c r="C30" s="87">
        <v>1</v>
      </c>
      <c r="D30" s="44">
        <f>(25.42*26)*0.81</f>
        <v>535.34520000000009</v>
      </c>
      <c r="E30" s="32"/>
      <c r="F30" s="32"/>
    </row>
    <row r="31" spans="1:6" x14ac:dyDescent="0.2">
      <c r="A31" s="103" t="s">
        <v>41</v>
      </c>
      <c r="B31" s="48" t="s">
        <v>42</v>
      </c>
      <c r="C31" s="48">
        <v>52</v>
      </c>
      <c r="D31" s="49">
        <f>((4.8*2)*26)-(D27*0.06)</f>
        <v>128.69580000000002</v>
      </c>
      <c r="E31" s="32"/>
      <c r="F31" s="102"/>
    </row>
    <row r="32" spans="1:6" x14ac:dyDescent="0.2">
      <c r="A32" s="103" t="s">
        <v>116</v>
      </c>
      <c r="B32" s="48" t="s">
        <v>37</v>
      </c>
      <c r="C32" s="48">
        <v>1</v>
      </c>
      <c r="D32" s="49">
        <v>24.1</v>
      </c>
      <c r="E32" s="32"/>
      <c r="F32" s="102"/>
    </row>
    <row r="33" spans="1:8" ht="13.5" thickBot="1" x14ac:dyDescent="0.25">
      <c r="A33" s="377" t="s">
        <v>44</v>
      </c>
      <c r="B33" s="378"/>
      <c r="C33" s="378"/>
      <c r="D33" s="50">
        <f>SUM(D27:D32)</f>
        <v>4793.8058236000006</v>
      </c>
      <c r="E33" s="32"/>
      <c r="F33" s="32"/>
    </row>
    <row r="34" spans="1:8" x14ac:dyDescent="0.2">
      <c r="A34" s="32"/>
      <c r="B34" s="32"/>
      <c r="C34" s="32"/>
      <c r="D34" s="33"/>
      <c r="E34" s="33"/>
      <c r="F34" s="32"/>
    </row>
    <row r="35" spans="1:8" x14ac:dyDescent="0.2">
      <c r="A35" s="38" t="s">
        <v>45</v>
      </c>
      <c r="B35" s="32"/>
      <c r="C35" s="32"/>
      <c r="D35" s="33"/>
      <c r="E35" s="33"/>
      <c r="F35" s="32"/>
    </row>
    <row r="36" spans="1:8" ht="13.5" thickBot="1" x14ac:dyDescent="0.25">
      <c r="A36" s="32"/>
      <c r="B36" s="32"/>
      <c r="C36" s="32"/>
      <c r="D36" s="33"/>
      <c r="E36" s="33"/>
      <c r="F36" s="32"/>
    </row>
    <row r="37" spans="1:8" x14ac:dyDescent="0.2">
      <c r="A37" s="39" t="s">
        <v>33</v>
      </c>
      <c r="B37" s="40" t="s">
        <v>34</v>
      </c>
      <c r="C37" s="40" t="s">
        <v>119</v>
      </c>
      <c r="D37" s="41" t="s">
        <v>46</v>
      </c>
      <c r="E37" s="41" t="s">
        <v>47</v>
      </c>
      <c r="F37" s="41" t="s">
        <v>48</v>
      </c>
      <c r="G37" s="41" t="s">
        <v>49</v>
      </c>
      <c r="H37" s="41" t="s">
        <v>50</v>
      </c>
    </row>
    <row r="38" spans="1:8" ht="15" x14ac:dyDescent="0.2">
      <c r="A38" s="101" t="s">
        <v>53</v>
      </c>
      <c r="B38" s="87" t="s">
        <v>52</v>
      </c>
      <c r="C38" s="46">
        <v>4</v>
      </c>
      <c r="D38" s="51">
        <f t="shared" ref="D38:D44" si="0">C38*F38</f>
        <v>302.08</v>
      </c>
      <c r="E38" s="52">
        <f t="shared" ref="E38:E45" si="1">D38/12</f>
        <v>25.173333333333332</v>
      </c>
      <c r="F38" s="53">
        <v>75.52</v>
      </c>
      <c r="G38" s="54">
        <v>1</v>
      </c>
      <c r="H38" s="14">
        <v>90</v>
      </c>
    </row>
    <row r="39" spans="1:8" ht="15" x14ac:dyDescent="0.2">
      <c r="A39" s="107" t="s">
        <v>54</v>
      </c>
      <c r="B39" s="87" t="s">
        <v>51</v>
      </c>
      <c r="C39" s="87">
        <v>6</v>
      </c>
      <c r="D39" s="51">
        <f t="shared" si="0"/>
        <v>14.16</v>
      </c>
      <c r="E39" s="52">
        <f t="shared" si="1"/>
        <v>1.18</v>
      </c>
      <c r="F39" s="53">
        <v>2.36</v>
      </c>
      <c r="G39" s="54">
        <v>0.3</v>
      </c>
      <c r="H39" s="14">
        <v>20</v>
      </c>
    </row>
    <row r="40" spans="1:8" ht="15" x14ac:dyDescent="0.2">
      <c r="A40" s="107" t="s">
        <v>55</v>
      </c>
      <c r="B40" s="87" t="s">
        <v>51</v>
      </c>
      <c r="C40" s="87">
        <v>1.5</v>
      </c>
      <c r="D40" s="51">
        <f t="shared" si="0"/>
        <v>401.20500000000004</v>
      </c>
      <c r="E40" s="52">
        <f t="shared" si="1"/>
        <v>33.433750000000003</v>
      </c>
      <c r="F40" s="53">
        <v>267.47000000000003</v>
      </c>
      <c r="G40" s="54">
        <v>0.5</v>
      </c>
      <c r="H40" s="14">
        <v>130</v>
      </c>
    </row>
    <row r="41" spans="1:8" ht="15" x14ac:dyDescent="0.2">
      <c r="A41" s="170" t="s">
        <v>56</v>
      </c>
      <c r="B41" s="48" t="s">
        <v>51</v>
      </c>
      <c r="C41" s="48">
        <v>73</v>
      </c>
      <c r="D41" s="51">
        <f t="shared" si="0"/>
        <v>128.47999999999999</v>
      </c>
      <c r="E41" s="52">
        <f t="shared" si="1"/>
        <v>10.706666666666665</v>
      </c>
      <c r="F41" s="53">
        <v>1.76</v>
      </c>
      <c r="G41" s="54">
        <v>0.2</v>
      </c>
      <c r="H41" s="14">
        <v>1</v>
      </c>
    </row>
    <row r="42" spans="1:8" ht="15" x14ac:dyDescent="0.2">
      <c r="A42" s="170" t="s">
        <v>57</v>
      </c>
      <c r="B42" s="48" t="s">
        <v>51</v>
      </c>
      <c r="C42" s="48">
        <v>2</v>
      </c>
      <c r="D42" s="51">
        <f t="shared" si="0"/>
        <v>40.9</v>
      </c>
      <c r="E42" s="52">
        <f t="shared" si="1"/>
        <v>3.4083333333333332</v>
      </c>
      <c r="F42" s="53">
        <v>20.45</v>
      </c>
      <c r="G42" s="54">
        <v>0.2</v>
      </c>
      <c r="H42" s="14">
        <v>60</v>
      </c>
    </row>
    <row r="43" spans="1:8" ht="15" x14ac:dyDescent="0.2">
      <c r="A43" s="170" t="s">
        <v>58</v>
      </c>
      <c r="B43" s="48" t="s">
        <v>51</v>
      </c>
      <c r="C43" s="48">
        <v>2</v>
      </c>
      <c r="D43" s="51">
        <f t="shared" si="0"/>
        <v>64.5</v>
      </c>
      <c r="E43" s="52">
        <f t="shared" si="1"/>
        <v>5.375</v>
      </c>
      <c r="F43" s="53">
        <v>32.25</v>
      </c>
      <c r="G43" s="54">
        <v>0.5</v>
      </c>
      <c r="H43" s="14">
        <v>90</v>
      </c>
    </row>
    <row r="44" spans="1:8" ht="15" x14ac:dyDescent="0.2">
      <c r="A44" s="170" t="s">
        <v>59</v>
      </c>
      <c r="B44" s="48" t="s">
        <v>51</v>
      </c>
      <c r="C44" s="48">
        <v>4</v>
      </c>
      <c r="D44" s="51">
        <f t="shared" si="0"/>
        <v>1327.2</v>
      </c>
      <c r="E44" s="52">
        <f t="shared" si="1"/>
        <v>110.60000000000001</v>
      </c>
      <c r="F44" s="53">
        <v>331.8</v>
      </c>
      <c r="G44" s="54">
        <v>1</v>
      </c>
      <c r="H44" s="14">
        <v>180</v>
      </c>
    </row>
    <row r="45" spans="1:8" ht="13.5" thickBot="1" x14ac:dyDescent="0.25">
      <c r="A45" s="377" t="s">
        <v>60</v>
      </c>
      <c r="B45" s="378"/>
      <c r="C45" s="378"/>
      <c r="D45" s="55">
        <f>SUM(D38:D44)</f>
        <v>2278.5250000000001</v>
      </c>
      <c r="E45" s="55">
        <f t="shared" si="1"/>
        <v>189.87708333333333</v>
      </c>
      <c r="F45" s="56"/>
    </row>
    <row r="46" spans="1:8" ht="13.5" thickBot="1" x14ac:dyDescent="0.25">
      <c r="A46" s="32"/>
      <c r="B46" s="32"/>
      <c r="C46" s="32"/>
      <c r="D46" s="33"/>
      <c r="E46" s="33"/>
      <c r="F46" s="32"/>
    </row>
    <row r="47" spans="1:8" ht="13.5" thickBot="1" x14ac:dyDescent="0.25">
      <c r="A47" s="57" t="s">
        <v>61</v>
      </c>
      <c r="B47" s="58"/>
      <c r="C47" s="58"/>
      <c r="D47" s="59">
        <f>D33+E45</f>
        <v>4983.6829069333344</v>
      </c>
      <c r="E47" s="32"/>
      <c r="F47" s="32"/>
    </row>
    <row r="48" spans="1:8" x14ac:dyDescent="0.2">
      <c r="A48" s="32"/>
      <c r="B48" s="32"/>
      <c r="C48" s="32"/>
      <c r="D48" s="33"/>
      <c r="E48" s="32"/>
      <c r="F48" s="32"/>
    </row>
    <row r="49" spans="1:6" x14ac:dyDescent="0.2">
      <c r="A49" s="38" t="s">
        <v>62</v>
      </c>
      <c r="B49" s="32"/>
      <c r="C49" s="32"/>
      <c r="D49" s="33"/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x14ac:dyDescent="0.2">
      <c r="A51" s="39" t="s">
        <v>33</v>
      </c>
      <c r="B51" s="40" t="s">
        <v>34</v>
      </c>
      <c r="C51" s="40" t="s">
        <v>31</v>
      </c>
      <c r="D51" s="41" t="s">
        <v>35</v>
      </c>
      <c r="E51" s="32"/>
      <c r="F51" s="32"/>
    </row>
    <row r="52" spans="1:6" ht="13.5" thickBot="1" x14ac:dyDescent="0.25">
      <c r="A52" s="60" t="s">
        <v>63</v>
      </c>
      <c r="B52" s="89" t="s">
        <v>24</v>
      </c>
      <c r="C52" s="89">
        <v>22.19</v>
      </c>
      <c r="D52" s="55">
        <f>(C52/100)*D47</f>
        <v>1105.8792370485069</v>
      </c>
      <c r="E52" s="32"/>
      <c r="F52" s="32"/>
    </row>
    <row r="53" spans="1:6" ht="13.5" thickBot="1" x14ac:dyDescent="0.25">
      <c r="A53" s="32"/>
      <c r="B53" s="32"/>
      <c r="C53" s="32"/>
      <c r="D53" s="33"/>
      <c r="E53" s="32"/>
      <c r="F53" s="32"/>
    </row>
    <row r="54" spans="1:6" ht="13.5" thickBot="1" x14ac:dyDescent="0.25">
      <c r="A54" s="390" t="s">
        <v>64</v>
      </c>
      <c r="B54" s="391"/>
      <c r="C54" s="392"/>
      <c r="D54" s="59">
        <f>D47+D52</f>
        <v>6089.5621439818415</v>
      </c>
      <c r="E54" s="32"/>
      <c r="F54" s="32"/>
    </row>
    <row r="55" spans="1:6" ht="15.75" x14ac:dyDescent="0.2">
      <c r="A55" s="62"/>
      <c r="B55" s="62"/>
      <c r="C55" s="62"/>
      <c r="D55" s="63"/>
      <c r="E55" s="63"/>
      <c r="F55" s="32"/>
    </row>
    <row r="56" spans="1:6" ht="15.75" x14ac:dyDescent="0.2">
      <c r="A56" s="64" t="s">
        <v>39</v>
      </c>
      <c r="B56" s="33"/>
      <c r="C56" s="33"/>
      <c r="D56" s="33"/>
      <c r="E56" s="33"/>
      <c r="F56" s="18"/>
    </row>
    <row r="57" spans="1:6" x14ac:dyDescent="0.2">
      <c r="A57" s="65"/>
      <c r="B57" s="66"/>
      <c r="C57" s="37"/>
      <c r="D57" s="33"/>
      <c r="E57" s="67"/>
      <c r="F57" s="38"/>
    </row>
    <row r="58" spans="1:6" x14ac:dyDescent="0.2">
      <c r="A58" s="68" t="s">
        <v>65</v>
      </c>
      <c r="B58" s="69"/>
      <c r="C58" s="37"/>
      <c r="D58" s="33"/>
      <c r="E58" s="70"/>
      <c r="F58" s="71"/>
    </row>
    <row r="59" spans="1:6" ht="15" x14ac:dyDescent="0.2">
      <c r="A59" s="72" t="s">
        <v>66</v>
      </c>
      <c r="B59" s="73">
        <v>0.2</v>
      </c>
      <c r="C59" s="37"/>
      <c r="D59" s="33"/>
      <c r="E59" s="33"/>
      <c r="F59" s="18"/>
    </row>
    <row r="60" spans="1:6" ht="15" x14ac:dyDescent="0.2">
      <c r="A60" s="72" t="s">
        <v>67</v>
      </c>
      <c r="B60" s="73">
        <v>1.4999999999999999E-2</v>
      </c>
      <c r="C60" s="37"/>
      <c r="D60" s="33"/>
      <c r="E60" s="33"/>
      <c r="F60" s="18"/>
    </row>
    <row r="61" spans="1:6" ht="15" x14ac:dyDescent="0.2">
      <c r="A61" s="72" t="s">
        <v>68</v>
      </c>
      <c r="B61" s="73">
        <v>0.01</v>
      </c>
      <c r="C61" s="37"/>
      <c r="D61" s="33"/>
      <c r="E61" s="33"/>
      <c r="F61" s="18"/>
    </row>
    <row r="62" spans="1:6" ht="15" x14ac:dyDescent="0.2">
      <c r="A62" s="72" t="s">
        <v>69</v>
      </c>
      <c r="B62" s="73">
        <v>2E-3</v>
      </c>
      <c r="C62" s="37"/>
      <c r="D62" s="33"/>
      <c r="E62" s="33"/>
      <c r="F62" s="18"/>
    </row>
    <row r="63" spans="1:6" ht="15" x14ac:dyDescent="0.2">
      <c r="A63" s="72" t="s">
        <v>70</v>
      </c>
      <c r="B63" s="73">
        <v>6.0000000000000001E-3</v>
      </c>
      <c r="C63" s="37"/>
      <c r="D63" s="33"/>
      <c r="E63" s="33"/>
      <c r="F63" s="18"/>
    </row>
    <row r="64" spans="1:6" ht="15" x14ac:dyDescent="0.2">
      <c r="A64" s="72" t="s">
        <v>71</v>
      </c>
      <c r="B64" s="73">
        <v>2.5000000000000001E-2</v>
      </c>
      <c r="C64" s="37"/>
      <c r="D64" s="33"/>
      <c r="E64" s="33"/>
      <c r="F64" s="18"/>
    </row>
    <row r="65" spans="1:6" ht="15" x14ac:dyDescent="0.2">
      <c r="A65" s="72" t="s">
        <v>115</v>
      </c>
      <c r="B65" s="73">
        <v>0.03</v>
      </c>
      <c r="C65" s="37"/>
      <c r="D65" s="33"/>
      <c r="E65" s="33"/>
      <c r="F65" s="18"/>
    </row>
    <row r="66" spans="1:6" ht="15" x14ac:dyDescent="0.2">
      <c r="A66" s="72" t="s">
        <v>73</v>
      </c>
      <c r="B66" s="73">
        <v>0.08</v>
      </c>
      <c r="C66" s="37"/>
      <c r="D66" s="33"/>
      <c r="E66" s="33"/>
      <c r="F66" s="18"/>
    </row>
    <row r="67" spans="1:6" x14ac:dyDescent="0.2">
      <c r="A67" s="74" t="s">
        <v>74</v>
      </c>
      <c r="B67" s="75">
        <f>SUM(B59:B66)</f>
        <v>0.36800000000000005</v>
      </c>
      <c r="C67" s="37"/>
      <c r="D67" s="33"/>
      <c r="E67" s="67"/>
      <c r="F67" s="38"/>
    </row>
    <row r="68" spans="1:6" x14ac:dyDescent="0.2">
      <c r="A68" s="32"/>
      <c r="B68" s="32"/>
      <c r="C68" s="32"/>
      <c r="D68" s="33"/>
      <c r="E68" s="33"/>
      <c r="F68" s="32"/>
    </row>
    <row r="69" spans="1:6" x14ac:dyDescent="0.2">
      <c r="A69" s="68" t="s">
        <v>75</v>
      </c>
      <c r="B69" s="76"/>
      <c r="C69" s="37"/>
      <c r="D69" s="33"/>
      <c r="E69" s="70"/>
      <c r="F69" s="71"/>
    </row>
    <row r="70" spans="1:6" ht="15" x14ac:dyDescent="0.2">
      <c r="A70" s="72" t="s">
        <v>76</v>
      </c>
      <c r="B70" s="73">
        <v>6.4000000000000003E-3</v>
      </c>
      <c r="C70" s="37"/>
      <c r="D70" s="33"/>
      <c r="E70" s="33"/>
      <c r="F70" s="18"/>
    </row>
    <row r="71" spans="1:6" ht="15" x14ac:dyDescent="0.2">
      <c r="A71" s="72" t="s">
        <v>77</v>
      </c>
      <c r="B71" s="73">
        <v>8.3299999999999999E-2</v>
      </c>
      <c r="C71" s="37"/>
      <c r="D71" s="33"/>
      <c r="E71" s="33"/>
      <c r="F71" s="18"/>
    </row>
    <row r="72" spans="1:6" ht="15" x14ac:dyDescent="0.2">
      <c r="A72" s="72" t="s">
        <v>78</v>
      </c>
      <c r="B72" s="73">
        <v>4.0000000000000002E-4</v>
      </c>
      <c r="C72" s="37"/>
      <c r="D72" s="33"/>
      <c r="E72" s="33"/>
      <c r="F72" s="18"/>
    </row>
    <row r="73" spans="1:6" x14ac:dyDescent="0.2">
      <c r="A73" s="72" t="s">
        <v>79</v>
      </c>
      <c r="B73" s="73">
        <v>5.5999999999999999E-3</v>
      </c>
      <c r="C73" s="37"/>
      <c r="D73" s="33"/>
      <c r="E73" s="67"/>
      <c r="F73" s="38"/>
    </row>
    <row r="74" spans="1:6" x14ac:dyDescent="0.2">
      <c r="A74" s="72" t="s">
        <v>80</v>
      </c>
      <c r="B74" s="73">
        <v>8.0000000000000004E-4</v>
      </c>
      <c r="C74" s="32"/>
      <c r="D74" s="33"/>
      <c r="E74" s="33"/>
      <c r="F74" s="32"/>
    </row>
    <row r="75" spans="1:6" x14ac:dyDescent="0.2">
      <c r="A75" s="72" t="s">
        <v>81</v>
      </c>
      <c r="B75" s="73">
        <v>8.7400000000000005E-2</v>
      </c>
      <c r="C75" s="77"/>
      <c r="D75" s="20"/>
      <c r="E75" s="70"/>
      <c r="F75" s="71"/>
    </row>
    <row r="76" spans="1:6" x14ac:dyDescent="0.2">
      <c r="A76" s="72" t="s">
        <v>82</v>
      </c>
      <c r="B76" s="73">
        <v>2.9999999999999997E-4</v>
      </c>
      <c r="C76" s="77"/>
      <c r="D76" s="20"/>
      <c r="E76" s="70"/>
      <c r="F76" s="71"/>
    </row>
    <row r="77" spans="1:6" ht="15" x14ac:dyDescent="0.2">
      <c r="A77" s="74" t="s">
        <v>74</v>
      </c>
      <c r="B77" s="75">
        <f>SUM(B70:B76)</f>
        <v>0.1842</v>
      </c>
      <c r="C77" s="37"/>
      <c r="D77" s="33"/>
      <c r="E77" s="33"/>
      <c r="F77" s="18"/>
    </row>
    <row r="78" spans="1:6" ht="15" x14ac:dyDescent="0.2">
      <c r="A78" s="72"/>
      <c r="B78" s="73"/>
      <c r="C78" s="37"/>
      <c r="D78" s="33"/>
      <c r="E78" s="33"/>
      <c r="F78" s="18"/>
    </row>
    <row r="79" spans="1:6" ht="15" x14ac:dyDescent="0.25">
      <c r="A79" s="68" t="s">
        <v>83</v>
      </c>
      <c r="B79" s="76"/>
      <c r="C79" s="37"/>
      <c r="D79" s="38"/>
      <c r="E79" s="78"/>
      <c r="F79" s="38"/>
    </row>
    <row r="80" spans="1:6" ht="15" x14ac:dyDescent="0.25">
      <c r="A80" s="72" t="s">
        <v>84</v>
      </c>
      <c r="B80" s="73">
        <v>3.4700000000000002E-2</v>
      </c>
      <c r="C80" s="32"/>
      <c r="D80" s="78"/>
      <c r="E80" s="78"/>
      <c r="F80" s="32"/>
    </row>
    <row r="81" spans="1:6" ht="15" x14ac:dyDescent="0.25">
      <c r="A81" s="72" t="s">
        <v>85</v>
      </c>
      <c r="B81" s="73">
        <v>8.0000000000000004E-4</v>
      </c>
      <c r="C81" s="32"/>
      <c r="D81" s="78"/>
      <c r="E81" s="78"/>
      <c r="F81" s="32"/>
    </row>
    <row r="82" spans="1:6" ht="15" x14ac:dyDescent="0.25">
      <c r="A82" s="72" t="s">
        <v>86</v>
      </c>
      <c r="B82" s="73">
        <v>1.7100000000000001E-2</v>
      </c>
      <c r="C82" s="77"/>
      <c r="D82" s="78"/>
      <c r="E82" s="78"/>
      <c r="F82" s="71"/>
    </row>
    <row r="83" spans="1:6" ht="15" x14ac:dyDescent="0.25">
      <c r="A83" s="72" t="s">
        <v>87</v>
      </c>
      <c r="B83" s="73">
        <v>1.9300000000000001E-2</v>
      </c>
      <c r="C83" s="37"/>
      <c r="D83" s="78"/>
      <c r="E83" s="78"/>
      <c r="F83" s="18"/>
    </row>
    <row r="84" spans="1:6" ht="15" x14ac:dyDescent="0.25">
      <c r="A84" s="72" t="s">
        <v>88</v>
      </c>
      <c r="B84" s="73">
        <v>2.8999999999999998E-3</v>
      </c>
      <c r="C84" s="37"/>
      <c r="D84" s="78"/>
      <c r="E84" s="78"/>
      <c r="F84" s="18"/>
    </row>
    <row r="85" spans="1:6" ht="15" x14ac:dyDescent="0.25">
      <c r="A85" s="74" t="s">
        <v>74</v>
      </c>
      <c r="B85" s="75">
        <f>SUM(B80:B84)</f>
        <v>7.4800000000000005E-2</v>
      </c>
      <c r="C85" s="37"/>
      <c r="D85" s="78"/>
      <c r="E85" s="78"/>
      <c r="F85" s="18"/>
    </row>
    <row r="86" spans="1:6" ht="15" x14ac:dyDescent="0.25">
      <c r="A86" s="72"/>
      <c r="B86" s="73"/>
      <c r="C86" s="37"/>
      <c r="D86" s="78"/>
      <c r="E86" s="78"/>
      <c r="F86" s="18"/>
    </row>
    <row r="87" spans="1:6" ht="15" x14ac:dyDescent="0.25">
      <c r="A87" s="68" t="s">
        <v>89</v>
      </c>
      <c r="B87" s="73"/>
      <c r="C87" s="37"/>
      <c r="D87" s="78"/>
      <c r="E87" s="78"/>
      <c r="F87" s="18"/>
    </row>
    <row r="88" spans="1:6" ht="15" x14ac:dyDescent="0.25">
      <c r="A88" s="72" t="s">
        <v>90</v>
      </c>
      <c r="B88" s="73">
        <v>6.7799999999999999E-2</v>
      </c>
      <c r="C88" s="37"/>
      <c r="D88" s="78"/>
      <c r="E88" s="78"/>
      <c r="F88" s="18"/>
    </row>
    <row r="89" spans="1:6" ht="15" x14ac:dyDescent="0.25">
      <c r="A89" s="72" t="s">
        <v>91</v>
      </c>
      <c r="B89" s="73">
        <v>3.0999999999999999E-3</v>
      </c>
      <c r="C89" s="37"/>
      <c r="D89" s="78"/>
      <c r="E89" s="78"/>
      <c r="F89" s="18"/>
    </row>
    <row r="90" spans="1:6" ht="15" x14ac:dyDescent="0.25">
      <c r="A90" s="74" t="s">
        <v>74</v>
      </c>
      <c r="B90" s="75">
        <f>SUM(B88:B89)</f>
        <v>7.0900000000000005E-2</v>
      </c>
      <c r="C90" s="37"/>
      <c r="D90" s="78"/>
      <c r="E90" s="78"/>
      <c r="F90" s="18"/>
    </row>
    <row r="91" spans="1:6" ht="15" x14ac:dyDescent="0.25">
      <c r="A91" s="32"/>
      <c r="B91" s="32"/>
      <c r="C91" s="32"/>
      <c r="D91" s="78"/>
      <c r="E91" s="78"/>
      <c r="F91" s="32"/>
    </row>
    <row r="92" spans="1:6" ht="15" x14ac:dyDescent="0.25">
      <c r="A92" s="74" t="s">
        <v>92</v>
      </c>
      <c r="B92" s="75">
        <f>B67+B77+B85+B90</f>
        <v>0.69789999999999996</v>
      </c>
      <c r="C92" s="77"/>
      <c r="D92" s="78"/>
      <c r="E92" s="78"/>
      <c r="F92" s="38"/>
    </row>
    <row r="93" spans="1:6" x14ac:dyDescent="0.2">
      <c r="A93" s="32"/>
      <c r="B93" s="32"/>
      <c r="C93" s="32"/>
      <c r="D93" s="33"/>
      <c r="E93" s="33"/>
      <c r="F93" s="32"/>
    </row>
    <row r="94" spans="1:6" x14ac:dyDescent="0.2">
      <c r="A94" s="79" t="s">
        <v>93</v>
      </c>
      <c r="B94" s="32"/>
      <c r="C94" s="32"/>
      <c r="D94" s="33"/>
      <c r="E94" s="33"/>
      <c r="F94" s="32"/>
    </row>
    <row r="95" spans="1:6" ht="13.5" thickBot="1" x14ac:dyDescent="0.25">
      <c r="A95" s="79"/>
      <c r="B95" s="32"/>
      <c r="C95" s="32"/>
      <c r="D95" s="33"/>
      <c r="E95" s="33"/>
      <c r="F95" s="32"/>
    </row>
    <row r="96" spans="1:6" x14ac:dyDescent="0.2">
      <c r="A96" s="80" t="s">
        <v>94</v>
      </c>
      <c r="B96" s="81" t="s">
        <v>95</v>
      </c>
      <c r="C96" s="82">
        <v>0.05</v>
      </c>
      <c r="D96" s="33"/>
      <c r="E96" s="33"/>
      <c r="F96" s="32"/>
    </row>
    <row r="97" spans="1:6" x14ac:dyDescent="0.2">
      <c r="A97" s="83" t="s">
        <v>96</v>
      </c>
      <c r="B97" s="87" t="s">
        <v>97</v>
      </c>
      <c r="C97" s="84">
        <v>2.5000000000000001E-3</v>
      </c>
      <c r="D97" s="85"/>
      <c r="E97" s="33"/>
      <c r="F97" s="32"/>
    </row>
    <row r="98" spans="1:6" x14ac:dyDescent="0.2">
      <c r="A98" s="83" t="s">
        <v>98</v>
      </c>
      <c r="B98" s="87" t="s">
        <v>99</v>
      </c>
      <c r="C98" s="84">
        <v>0.05</v>
      </c>
      <c r="D98" s="33"/>
      <c r="E98" s="33"/>
      <c r="F98" s="32"/>
    </row>
    <row r="99" spans="1:6" x14ac:dyDescent="0.2">
      <c r="A99" s="83" t="s">
        <v>100</v>
      </c>
      <c r="B99" s="87" t="s">
        <v>101</v>
      </c>
      <c r="C99" s="84">
        <v>0.01</v>
      </c>
      <c r="D99" s="33"/>
      <c r="E99" s="33"/>
      <c r="F99" s="32"/>
    </row>
    <row r="100" spans="1:6" x14ac:dyDescent="0.2">
      <c r="A100" s="86" t="s">
        <v>102</v>
      </c>
      <c r="B100" s="331" t="s">
        <v>103</v>
      </c>
      <c r="C100" s="84">
        <v>0.05</v>
      </c>
      <c r="D100" s="33"/>
      <c r="E100" s="33"/>
      <c r="F100" s="32"/>
    </row>
    <row r="101" spans="1:6" ht="13.5" thickBot="1" x14ac:dyDescent="0.25">
      <c r="A101" s="88" t="s">
        <v>104</v>
      </c>
      <c r="B101" s="332"/>
      <c r="C101" s="90">
        <v>3.6499999999999998E-2</v>
      </c>
      <c r="D101" s="33"/>
      <c r="E101" s="33"/>
      <c r="F101" s="32"/>
    </row>
    <row r="102" spans="1:6" x14ac:dyDescent="0.2">
      <c r="A102" s="91" t="s">
        <v>105</v>
      </c>
      <c r="B102" s="92"/>
      <c r="C102" s="93"/>
      <c r="D102" s="33"/>
      <c r="E102" s="33"/>
      <c r="F102" s="32"/>
    </row>
    <row r="103" spans="1:6" ht="13.5" thickBot="1" x14ac:dyDescent="0.25">
      <c r="A103" s="94" t="s">
        <v>106</v>
      </c>
      <c r="B103" s="95"/>
      <c r="C103" s="96"/>
      <c r="D103" s="33"/>
      <c r="E103" s="33"/>
      <c r="F103" s="32"/>
    </row>
    <row r="104" spans="1:6" ht="13.5" thickBot="1" x14ac:dyDescent="0.25">
      <c r="A104" s="97" t="s">
        <v>107</v>
      </c>
      <c r="B104" s="98"/>
      <c r="C104" s="99">
        <f>ROUND((((1+C96+C97)*(1+C98)*(1+C99))/(1-(C100+C101))-1),4)</f>
        <v>0.22189999999999999</v>
      </c>
      <c r="D104" s="33"/>
      <c r="E104" s="33"/>
      <c r="F104" s="32"/>
    </row>
    <row r="105" spans="1:6" x14ac:dyDescent="0.2">
      <c r="A105" s="32"/>
      <c r="B105" s="32"/>
      <c r="C105" s="32"/>
      <c r="D105" s="33"/>
      <c r="E105" s="33"/>
      <c r="F105" s="32"/>
    </row>
    <row r="106" spans="1:6" x14ac:dyDescent="0.2">
      <c r="A106" s="393"/>
      <c r="B106" s="394"/>
      <c r="C106" s="395"/>
      <c r="D106" s="33"/>
      <c r="E106" s="33"/>
      <c r="F106" s="32"/>
    </row>
    <row r="107" spans="1:6" x14ac:dyDescent="0.2">
      <c r="A107" s="396"/>
      <c r="B107" s="397"/>
      <c r="C107" s="398"/>
      <c r="D107" s="33"/>
      <c r="E107" s="33"/>
      <c r="F107" s="32"/>
    </row>
    <row r="108" spans="1:6" x14ac:dyDescent="0.2">
      <c r="A108" s="396"/>
      <c r="B108" s="397"/>
      <c r="C108" s="398"/>
      <c r="D108" s="33"/>
      <c r="E108" s="33"/>
      <c r="F108" s="32"/>
    </row>
    <row r="109" spans="1:6" x14ac:dyDescent="0.2">
      <c r="A109" s="399"/>
      <c r="B109" s="400"/>
      <c r="C109" s="401"/>
      <c r="D109" s="33"/>
      <c r="E109" s="33"/>
      <c r="F109" s="32"/>
    </row>
    <row r="110" spans="1:6" x14ac:dyDescent="0.2">
      <c r="A110" s="100"/>
      <c r="B110" s="100"/>
      <c r="C110" s="100"/>
      <c r="D110" s="33"/>
      <c r="E110" s="33"/>
      <c r="F110" s="32"/>
    </row>
    <row r="111" spans="1:6" ht="15" x14ac:dyDescent="0.25">
      <c r="A111" s="278"/>
      <c r="B111" s="278"/>
      <c r="C111" s="100"/>
      <c r="D111" s="33"/>
      <c r="E111" s="33"/>
      <c r="F111" s="32"/>
    </row>
    <row r="112" spans="1:6" ht="15" x14ac:dyDescent="0.25">
      <c r="A112" s="278"/>
      <c r="B112" s="278"/>
      <c r="C112" s="100"/>
      <c r="D112" s="33"/>
      <c r="E112" s="33"/>
      <c r="F112" s="32"/>
    </row>
  </sheetData>
  <mergeCells count="17">
    <mergeCell ref="A45:C45"/>
    <mergeCell ref="A2:D2"/>
    <mergeCell ref="A4:D9"/>
    <mergeCell ref="B12:C12"/>
    <mergeCell ref="B13:C13"/>
    <mergeCell ref="B14:C14"/>
    <mergeCell ref="B15:C15"/>
    <mergeCell ref="B16:C16"/>
    <mergeCell ref="A18:C18"/>
    <mergeCell ref="A21:C21"/>
    <mergeCell ref="A22:C22"/>
    <mergeCell ref="A33:C33"/>
    <mergeCell ref="A54:C54"/>
    <mergeCell ref="B100:B101"/>
    <mergeCell ref="A106:C109"/>
    <mergeCell ref="A111:B111"/>
    <mergeCell ref="A112:B1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79" workbookViewId="0">
      <selection activeCell="G16" sqref="G16"/>
    </sheetView>
  </sheetViews>
  <sheetFormatPr defaultRowHeight="12.75" x14ac:dyDescent="0.2"/>
  <cols>
    <col min="1" max="1" width="34.42578125" customWidth="1"/>
    <col min="3" max="3" width="14.28515625" customWidth="1"/>
    <col min="4" max="4" width="62" customWidth="1"/>
    <col min="6" max="6" width="17.28515625" customWidth="1"/>
  </cols>
  <sheetData>
    <row r="1" spans="1:6" ht="15" x14ac:dyDescent="0.2">
      <c r="A1" s="18"/>
      <c r="B1" s="19"/>
      <c r="C1" s="19"/>
      <c r="D1" s="20"/>
      <c r="E1" s="20"/>
      <c r="F1" s="18"/>
    </row>
    <row r="2" spans="1:6" ht="15" x14ac:dyDescent="0.2">
      <c r="A2" s="379" t="s">
        <v>121</v>
      </c>
      <c r="B2" s="379"/>
      <c r="C2" s="379"/>
      <c r="D2" s="379"/>
      <c r="E2" s="21"/>
      <c r="F2" s="21"/>
    </row>
    <row r="3" spans="1:6" ht="15" x14ac:dyDescent="0.2">
      <c r="A3" s="18"/>
      <c r="B3" s="19"/>
      <c r="C3" s="19"/>
      <c r="D3" s="22"/>
      <c r="E3" s="22"/>
      <c r="F3" s="18"/>
    </row>
    <row r="4" spans="1:6" ht="15" x14ac:dyDescent="0.2">
      <c r="A4" s="380" t="s">
        <v>122</v>
      </c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15" x14ac:dyDescent="0.2">
      <c r="A9" s="380"/>
      <c r="B9" s="380"/>
      <c r="C9" s="380"/>
      <c r="D9" s="380"/>
      <c r="E9" s="22"/>
      <c r="F9" s="18"/>
    </row>
    <row r="10" spans="1:6" ht="15" x14ac:dyDescent="0.2">
      <c r="A10" s="18"/>
      <c r="B10" s="19"/>
      <c r="C10" s="19"/>
      <c r="D10" s="22"/>
      <c r="E10" s="22"/>
      <c r="F10" s="18"/>
    </row>
    <row r="11" spans="1:6" ht="15.75" thickBot="1" x14ac:dyDescent="0.25">
      <c r="A11" s="23" t="s">
        <v>21</v>
      </c>
      <c r="B11" s="20"/>
      <c r="C11" s="20"/>
      <c r="D11" s="24">
        <v>46001</v>
      </c>
      <c r="E11" s="18"/>
      <c r="F11" s="18"/>
    </row>
    <row r="12" spans="1:6" ht="15" x14ac:dyDescent="0.2">
      <c r="A12" s="25" t="s">
        <v>22</v>
      </c>
      <c r="B12" s="381" t="s">
        <v>23</v>
      </c>
      <c r="C12" s="381"/>
      <c r="D12" s="26" t="s">
        <v>24</v>
      </c>
      <c r="E12" s="18"/>
      <c r="F12" s="18"/>
    </row>
    <row r="13" spans="1:6" ht="15" x14ac:dyDescent="0.2">
      <c r="A13" s="27" t="s">
        <v>25</v>
      </c>
      <c r="B13" s="283">
        <f>D32</f>
        <v>4276.7509669999999</v>
      </c>
      <c r="C13" s="284"/>
      <c r="D13" s="28">
        <f>+B13/D$51</f>
        <v>0.79900587544958457</v>
      </c>
      <c r="E13" s="18"/>
      <c r="F13" s="18"/>
    </row>
    <row r="14" spans="1:6" ht="15" x14ac:dyDescent="0.2">
      <c r="A14" s="27" t="s">
        <v>26</v>
      </c>
      <c r="B14" s="283">
        <f>E42</f>
        <v>103.79583333333335</v>
      </c>
      <c r="C14" s="284"/>
      <c r="D14" s="28">
        <f>+B14/D$51</f>
        <v>1.9391702093585844E-2</v>
      </c>
      <c r="E14" s="18"/>
      <c r="F14" s="18"/>
    </row>
    <row r="15" spans="1:6" ht="15.75" thickBot="1" x14ac:dyDescent="0.25">
      <c r="A15" s="29" t="s">
        <v>27</v>
      </c>
      <c r="B15" s="283">
        <f>D49</f>
        <v>972.04333499396682</v>
      </c>
      <c r="C15" s="284"/>
      <c r="D15" s="28">
        <f>+B15/D$51</f>
        <v>0.18160242245682956</v>
      </c>
      <c r="E15" s="18"/>
      <c r="F15" s="18"/>
    </row>
    <row r="16" spans="1:6" ht="15.75" thickBot="1" x14ac:dyDescent="0.25">
      <c r="A16" s="30" t="s">
        <v>113</v>
      </c>
      <c r="B16" s="285">
        <f>SUM(B13:C15)</f>
        <v>5352.5901353273002</v>
      </c>
      <c r="C16" s="286"/>
      <c r="D16" s="31">
        <f>SUM(D13:D15)</f>
        <v>1</v>
      </c>
      <c r="E16" s="18"/>
      <c r="F16" s="18"/>
    </row>
    <row r="17" spans="1:6" ht="13.5" thickBot="1" x14ac:dyDescent="0.25">
      <c r="A17" s="32"/>
      <c r="B17" s="32"/>
      <c r="C17" s="32"/>
      <c r="D17" s="33"/>
      <c r="E17" s="33"/>
      <c r="F17" s="32"/>
    </row>
    <row r="18" spans="1:6" ht="13.5" thickBot="1" x14ac:dyDescent="0.25">
      <c r="A18" s="382" t="s">
        <v>28</v>
      </c>
      <c r="B18" s="383"/>
      <c r="C18" s="383"/>
      <c r="D18" s="34">
        <f>B16/220</f>
        <v>24.329955160578638</v>
      </c>
      <c r="E18" s="33"/>
      <c r="F18" s="32"/>
    </row>
    <row r="19" spans="1:6" x14ac:dyDescent="0.2">
      <c r="A19" s="32"/>
      <c r="B19" s="32"/>
      <c r="C19" s="32"/>
      <c r="D19" s="33"/>
      <c r="E19" s="33"/>
      <c r="F19" s="32"/>
    </row>
    <row r="20" spans="1:6" ht="15.75" thickBot="1" x14ac:dyDescent="0.25">
      <c r="A20" s="23" t="s">
        <v>29</v>
      </c>
      <c r="B20" s="33"/>
      <c r="C20" s="33"/>
      <c r="D20" s="33"/>
      <c r="E20" s="33"/>
      <c r="F20" s="18"/>
    </row>
    <row r="21" spans="1:6" ht="15" x14ac:dyDescent="0.2">
      <c r="A21" s="384" t="s">
        <v>30</v>
      </c>
      <c r="B21" s="385"/>
      <c r="C21" s="386"/>
      <c r="D21" s="35" t="s">
        <v>31</v>
      </c>
      <c r="E21" s="18"/>
      <c r="F21" s="18"/>
    </row>
    <row r="22" spans="1:6" ht="15.75" thickBot="1" x14ac:dyDescent="0.25">
      <c r="A22" s="387" t="s">
        <v>123</v>
      </c>
      <c r="B22" s="388"/>
      <c r="C22" s="389"/>
      <c r="D22" s="36">
        <v>1</v>
      </c>
      <c r="E22" s="18"/>
      <c r="F22" s="18"/>
    </row>
    <row r="23" spans="1:6" ht="15" x14ac:dyDescent="0.2">
      <c r="A23" s="37"/>
      <c r="B23" s="37"/>
      <c r="C23" s="37"/>
      <c r="D23" s="32"/>
      <c r="E23" s="32"/>
      <c r="F23" s="18"/>
    </row>
    <row r="24" spans="1:6" x14ac:dyDescent="0.2">
      <c r="A24" s="38" t="s">
        <v>32</v>
      </c>
      <c r="B24" s="32"/>
      <c r="C24" s="32"/>
      <c r="D24" s="33"/>
      <c r="E24" s="33"/>
      <c r="F24" s="32"/>
    </row>
    <row r="25" spans="1:6" ht="13.5" thickBot="1" x14ac:dyDescent="0.25">
      <c r="A25" s="32"/>
      <c r="B25" s="32"/>
      <c r="C25" s="32"/>
      <c r="D25" s="33"/>
      <c r="E25" s="33"/>
      <c r="F25" s="32"/>
    </row>
    <row r="26" spans="1:6" x14ac:dyDescent="0.2">
      <c r="A26" s="39" t="s">
        <v>33</v>
      </c>
      <c r="B26" s="40" t="s">
        <v>34</v>
      </c>
      <c r="C26" s="40" t="s">
        <v>31</v>
      </c>
      <c r="D26" s="41" t="s">
        <v>35</v>
      </c>
      <c r="E26" s="32"/>
      <c r="F26" s="32"/>
    </row>
    <row r="27" spans="1:6" x14ac:dyDescent="0.2">
      <c r="A27" s="101" t="s">
        <v>36</v>
      </c>
      <c r="B27" s="104" t="s">
        <v>37</v>
      </c>
      <c r="C27" s="104">
        <v>1</v>
      </c>
      <c r="D27" s="44">
        <v>2185.73</v>
      </c>
      <c r="E27" s="102"/>
      <c r="F27" s="102"/>
    </row>
    <row r="28" spans="1:6" x14ac:dyDescent="0.2">
      <c r="A28" s="101" t="s">
        <v>39</v>
      </c>
      <c r="B28" s="104" t="s">
        <v>24</v>
      </c>
      <c r="C28" s="47">
        <f>B89</f>
        <v>0.69789999999999996</v>
      </c>
      <c r="D28" s="44">
        <f>0.6979*(D27)</f>
        <v>1525.420967</v>
      </c>
      <c r="E28" s="32"/>
      <c r="F28" s="32"/>
    </row>
    <row r="29" spans="1:6" x14ac:dyDescent="0.2">
      <c r="A29" s="101" t="s">
        <v>40</v>
      </c>
      <c r="B29" s="104" t="s">
        <v>37</v>
      </c>
      <c r="C29" s="104">
        <v>1</v>
      </c>
      <c r="D29" s="44">
        <f>(22*19)*0.8</f>
        <v>334.40000000000003</v>
      </c>
      <c r="E29" s="32" t="s">
        <v>124</v>
      </c>
      <c r="F29" s="32"/>
    </row>
    <row r="30" spans="1:6" x14ac:dyDescent="0.2">
      <c r="A30" s="103" t="s">
        <v>41</v>
      </c>
      <c r="B30" s="48" t="s">
        <v>42</v>
      </c>
      <c r="C30" s="48">
        <v>44</v>
      </c>
      <c r="D30" s="49">
        <f>((4.8*2)*22)</f>
        <v>211.2</v>
      </c>
      <c r="E30" s="32"/>
      <c r="F30" s="32"/>
    </row>
    <row r="31" spans="1:6" x14ac:dyDescent="0.2">
      <c r="A31" s="103" t="s">
        <v>43</v>
      </c>
      <c r="B31" s="48" t="s">
        <v>37</v>
      </c>
      <c r="C31" s="48">
        <v>1</v>
      </c>
      <c r="D31" s="49">
        <v>20</v>
      </c>
      <c r="E31" s="32" t="s">
        <v>125</v>
      </c>
      <c r="F31" s="32"/>
    </row>
    <row r="32" spans="1:6" ht="13.5" thickBot="1" x14ac:dyDescent="0.25">
      <c r="A32" s="377" t="s">
        <v>44</v>
      </c>
      <c r="B32" s="378"/>
      <c r="C32" s="378"/>
      <c r="D32" s="50">
        <f>SUM(D27:D31)</f>
        <v>4276.7509669999999</v>
      </c>
      <c r="E32" s="32"/>
      <c r="F32" s="32"/>
    </row>
    <row r="33" spans="1:8" x14ac:dyDescent="0.2">
      <c r="A33" s="32"/>
      <c r="B33" s="32"/>
      <c r="C33" s="32"/>
      <c r="D33" s="33"/>
      <c r="E33" s="33"/>
      <c r="F33" s="32"/>
    </row>
    <row r="34" spans="1:8" x14ac:dyDescent="0.2">
      <c r="A34" s="38" t="s">
        <v>45</v>
      </c>
      <c r="B34" s="32"/>
      <c r="C34" s="32"/>
      <c r="D34" s="33"/>
      <c r="E34" s="33"/>
      <c r="F34" s="32"/>
    </row>
    <row r="35" spans="1:8" ht="13.5" thickBot="1" x14ac:dyDescent="0.25">
      <c r="A35" s="32"/>
      <c r="B35" s="32"/>
      <c r="C35" s="32"/>
      <c r="D35" s="33"/>
      <c r="E35" s="33"/>
      <c r="F35" s="32"/>
    </row>
    <row r="36" spans="1:8" x14ac:dyDescent="0.2">
      <c r="A36" s="39" t="s">
        <v>33</v>
      </c>
      <c r="B36" s="40" t="s">
        <v>34</v>
      </c>
      <c r="C36" s="40" t="s">
        <v>31</v>
      </c>
      <c r="D36" s="41" t="s">
        <v>46</v>
      </c>
      <c r="E36" s="41" t="s">
        <v>47</v>
      </c>
      <c r="F36" s="41" t="s">
        <v>48</v>
      </c>
      <c r="G36" s="41" t="s">
        <v>49</v>
      </c>
      <c r="H36" s="41" t="s">
        <v>50</v>
      </c>
    </row>
    <row r="37" spans="1:8" ht="15" x14ac:dyDescent="0.2">
      <c r="A37" s="101" t="s">
        <v>53</v>
      </c>
      <c r="B37" s="104" t="s">
        <v>52</v>
      </c>
      <c r="C37" s="46">
        <v>2</v>
      </c>
      <c r="D37" s="51">
        <f t="shared" ref="D37:D41" si="0">C37*F37</f>
        <v>151.04</v>
      </c>
      <c r="E37" s="52">
        <f t="shared" ref="E37:E42" si="1">D37/12</f>
        <v>12.586666666666666</v>
      </c>
      <c r="F37" s="53">
        <v>75.52</v>
      </c>
      <c r="G37" s="54">
        <v>1</v>
      </c>
      <c r="H37" s="14">
        <v>90</v>
      </c>
    </row>
    <row r="38" spans="1:8" ht="15" x14ac:dyDescent="0.2">
      <c r="A38" s="107" t="s">
        <v>54</v>
      </c>
      <c r="B38" s="104" t="s">
        <v>51</v>
      </c>
      <c r="C38" s="104">
        <v>6</v>
      </c>
      <c r="D38" s="51">
        <f t="shared" si="0"/>
        <v>14.16</v>
      </c>
      <c r="E38" s="52">
        <f t="shared" si="1"/>
        <v>1.18</v>
      </c>
      <c r="F38" s="53">
        <v>2.36</v>
      </c>
      <c r="G38" s="54">
        <v>0.3</v>
      </c>
      <c r="H38" s="14">
        <v>20</v>
      </c>
    </row>
    <row r="39" spans="1:8" ht="15" x14ac:dyDescent="0.2">
      <c r="A39" s="170" t="s">
        <v>57</v>
      </c>
      <c r="B39" s="48" t="s">
        <v>51</v>
      </c>
      <c r="C39" s="48">
        <v>1</v>
      </c>
      <c r="D39" s="51">
        <f t="shared" si="0"/>
        <v>20.45</v>
      </c>
      <c r="E39" s="52">
        <f t="shared" si="1"/>
        <v>1.7041666666666666</v>
      </c>
      <c r="F39" s="53">
        <v>20.45</v>
      </c>
      <c r="G39" s="54">
        <v>0.2</v>
      </c>
      <c r="H39" s="14">
        <v>60</v>
      </c>
    </row>
    <row r="40" spans="1:8" ht="15" x14ac:dyDescent="0.2">
      <c r="A40" s="170" t="s">
        <v>58</v>
      </c>
      <c r="B40" s="48" t="s">
        <v>51</v>
      </c>
      <c r="C40" s="48">
        <v>2</v>
      </c>
      <c r="D40" s="51">
        <f t="shared" si="0"/>
        <v>64.5</v>
      </c>
      <c r="E40" s="52">
        <f t="shared" si="1"/>
        <v>5.375</v>
      </c>
      <c r="F40" s="53">
        <v>32.25</v>
      </c>
      <c r="G40" s="54">
        <v>0.5</v>
      </c>
      <c r="H40" s="14">
        <v>90</v>
      </c>
    </row>
    <row r="41" spans="1:8" ht="15" x14ac:dyDescent="0.2">
      <c r="A41" s="170" t="s">
        <v>59</v>
      </c>
      <c r="B41" s="48" t="s">
        <v>51</v>
      </c>
      <c r="C41" s="48">
        <v>3</v>
      </c>
      <c r="D41" s="51">
        <f t="shared" si="0"/>
        <v>995.40000000000009</v>
      </c>
      <c r="E41" s="52">
        <f t="shared" si="1"/>
        <v>82.95</v>
      </c>
      <c r="F41" s="53">
        <v>331.8</v>
      </c>
      <c r="G41" s="54">
        <v>1</v>
      </c>
      <c r="H41" s="14">
        <v>180</v>
      </c>
    </row>
    <row r="42" spans="1:8" ht="13.5" thickBot="1" x14ac:dyDescent="0.25">
      <c r="A42" s="377" t="s">
        <v>60</v>
      </c>
      <c r="B42" s="378"/>
      <c r="C42" s="378"/>
      <c r="D42" s="55">
        <f>SUM(D37:D41)</f>
        <v>1245.5500000000002</v>
      </c>
      <c r="E42" s="55">
        <f t="shared" si="1"/>
        <v>103.79583333333335</v>
      </c>
      <c r="F42" s="56"/>
    </row>
    <row r="43" spans="1:8" ht="13.5" thickBot="1" x14ac:dyDescent="0.25">
      <c r="A43" s="32"/>
      <c r="B43" s="32"/>
      <c r="C43" s="32"/>
      <c r="D43" s="33"/>
      <c r="E43" s="33"/>
      <c r="F43" s="32"/>
    </row>
    <row r="44" spans="1:8" ht="13.5" thickBot="1" x14ac:dyDescent="0.25">
      <c r="A44" s="57" t="s">
        <v>61</v>
      </c>
      <c r="B44" s="58"/>
      <c r="C44" s="58"/>
      <c r="D44" s="59">
        <f>D32+E42</f>
        <v>4380.5468003333335</v>
      </c>
      <c r="E44" s="32"/>
      <c r="F44" s="32"/>
    </row>
    <row r="45" spans="1:8" x14ac:dyDescent="0.2">
      <c r="A45" s="32"/>
      <c r="B45" s="32"/>
      <c r="C45" s="32"/>
      <c r="D45" s="33"/>
      <c r="E45" s="32"/>
      <c r="F45" s="32"/>
    </row>
    <row r="46" spans="1:8" x14ac:dyDescent="0.2">
      <c r="A46" s="38" t="s">
        <v>62</v>
      </c>
      <c r="B46" s="32"/>
      <c r="C46" s="32"/>
      <c r="D46" s="33"/>
      <c r="E46" s="32"/>
      <c r="F46" s="32"/>
    </row>
    <row r="47" spans="1:8" ht="13.5" thickBot="1" x14ac:dyDescent="0.25">
      <c r="A47" s="32"/>
      <c r="B47" s="32"/>
      <c r="C47" s="32"/>
      <c r="D47" s="33"/>
      <c r="E47" s="32"/>
      <c r="F47" s="32"/>
    </row>
    <row r="48" spans="1:8" x14ac:dyDescent="0.2">
      <c r="A48" s="39" t="s">
        <v>33</v>
      </c>
      <c r="B48" s="40" t="s">
        <v>34</v>
      </c>
      <c r="C48" s="40" t="s">
        <v>31</v>
      </c>
      <c r="D48" s="41" t="s">
        <v>35</v>
      </c>
      <c r="E48" s="32"/>
      <c r="F48" s="32"/>
    </row>
    <row r="49" spans="1:6" ht="13.5" thickBot="1" x14ac:dyDescent="0.25">
      <c r="A49" s="60" t="s">
        <v>63</v>
      </c>
      <c r="B49" s="105" t="s">
        <v>24</v>
      </c>
      <c r="C49" s="105">
        <v>22.19</v>
      </c>
      <c r="D49" s="55">
        <f>(C49/100)*D44</f>
        <v>972.04333499396682</v>
      </c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ht="13.5" thickBot="1" x14ac:dyDescent="0.25">
      <c r="A51" s="390" t="s">
        <v>64</v>
      </c>
      <c r="B51" s="391"/>
      <c r="C51" s="392"/>
      <c r="D51" s="59">
        <f>D44+D49</f>
        <v>5352.5901353273002</v>
      </c>
      <c r="E51" s="32"/>
      <c r="F51" s="32"/>
    </row>
    <row r="52" spans="1:6" ht="15.75" x14ac:dyDescent="0.2">
      <c r="A52" s="62"/>
      <c r="B52" s="62"/>
      <c r="C52" s="62"/>
      <c r="D52" s="63"/>
      <c r="E52" s="63"/>
      <c r="F52" s="32"/>
    </row>
    <row r="53" spans="1:6" ht="15.75" x14ac:dyDescent="0.2">
      <c r="A53" s="64" t="s">
        <v>39</v>
      </c>
      <c r="B53" s="33"/>
      <c r="C53" s="33"/>
      <c r="D53" s="33"/>
      <c r="E53" s="33"/>
      <c r="F53" s="18"/>
    </row>
    <row r="54" spans="1:6" x14ac:dyDescent="0.2">
      <c r="A54" s="65"/>
      <c r="B54" s="66"/>
      <c r="C54" s="37"/>
      <c r="D54" s="33"/>
      <c r="E54" s="67"/>
      <c r="F54" s="38"/>
    </row>
    <row r="55" spans="1:6" x14ac:dyDescent="0.2">
      <c r="A55" s="68" t="s">
        <v>65</v>
      </c>
      <c r="B55" s="69"/>
      <c r="C55" s="37"/>
      <c r="D55" s="33"/>
      <c r="E55" s="70"/>
      <c r="F55" s="71"/>
    </row>
    <row r="56" spans="1:6" ht="15" x14ac:dyDescent="0.2">
      <c r="A56" s="72" t="s">
        <v>66</v>
      </c>
      <c r="B56" s="73">
        <v>0.2</v>
      </c>
      <c r="C56" s="37"/>
      <c r="D56" s="33"/>
      <c r="E56" s="33"/>
      <c r="F56" s="18"/>
    </row>
    <row r="57" spans="1:6" ht="15" x14ac:dyDescent="0.2">
      <c r="A57" s="72" t="s">
        <v>67</v>
      </c>
      <c r="B57" s="73">
        <v>1.4999999999999999E-2</v>
      </c>
      <c r="C57" s="37"/>
      <c r="D57" s="33"/>
      <c r="E57" s="33"/>
      <c r="F57" s="18"/>
    </row>
    <row r="58" spans="1:6" ht="15" x14ac:dyDescent="0.2">
      <c r="A58" s="72" t="s">
        <v>68</v>
      </c>
      <c r="B58" s="73">
        <v>0.01</v>
      </c>
      <c r="C58" s="37"/>
      <c r="D58" s="33"/>
      <c r="E58" s="33"/>
      <c r="F58" s="18"/>
    </row>
    <row r="59" spans="1:6" ht="15" x14ac:dyDescent="0.2">
      <c r="A59" s="72" t="s">
        <v>69</v>
      </c>
      <c r="B59" s="73">
        <v>2E-3</v>
      </c>
      <c r="C59" s="37"/>
      <c r="D59" s="33"/>
      <c r="E59" s="33"/>
      <c r="F59" s="18"/>
    </row>
    <row r="60" spans="1:6" ht="15" x14ac:dyDescent="0.2">
      <c r="A60" s="72" t="s">
        <v>70</v>
      </c>
      <c r="B60" s="73">
        <v>6.0000000000000001E-3</v>
      </c>
      <c r="C60" s="37"/>
      <c r="D60" s="33"/>
      <c r="E60" s="33"/>
      <c r="F60" s="18"/>
    </row>
    <row r="61" spans="1:6" ht="15" x14ac:dyDescent="0.2">
      <c r="A61" s="72" t="s">
        <v>71</v>
      </c>
      <c r="B61" s="73">
        <v>2.5000000000000001E-2</v>
      </c>
      <c r="C61" s="37"/>
      <c r="D61" s="33"/>
      <c r="E61" s="33"/>
      <c r="F61" s="18"/>
    </row>
    <row r="62" spans="1:6" ht="15" x14ac:dyDescent="0.2">
      <c r="A62" s="72" t="s">
        <v>72</v>
      </c>
      <c r="B62" s="73">
        <v>0.03</v>
      </c>
      <c r="C62" s="37"/>
      <c r="D62" s="33"/>
      <c r="E62" s="33"/>
      <c r="F62" s="18"/>
    </row>
    <row r="63" spans="1:6" ht="15" x14ac:dyDescent="0.2">
      <c r="A63" s="72" t="s">
        <v>73</v>
      </c>
      <c r="B63" s="73">
        <v>0.08</v>
      </c>
      <c r="C63" s="37"/>
      <c r="D63" s="33"/>
      <c r="E63" s="33"/>
      <c r="F63" s="18"/>
    </row>
    <row r="64" spans="1:6" x14ac:dyDescent="0.2">
      <c r="A64" s="74" t="s">
        <v>74</v>
      </c>
      <c r="B64" s="75">
        <f>SUM(B56:B63)</f>
        <v>0.36800000000000005</v>
      </c>
      <c r="C64" s="37"/>
      <c r="D64" s="33"/>
      <c r="E64" s="67"/>
      <c r="F64" s="38"/>
    </row>
    <row r="65" spans="1:6" x14ac:dyDescent="0.2">
      <c r="A65" s="32"/>
      <c r="B65" s="32"/>
      <c r="C65" s="32"/>
      <c r="D65" s="33"/>
      <c r="E65" s="33"/>
      <c r="F65" s="32"/>
    </row>
    <row r="66" spans="1:6" x14ac:dyDescent="0.2">
      <c r="A66" s="68" t="s">
        <v>75</v>
      </c>
      <c r="B66" s="76"/>
      <c r="C66" s="37"/>
      <c r="D66" s="33"/>
      <c r="E66" s="70"/>
      <c r="F66" s="71"/>
    </row>
    <row r="67" spans="1:6" ht="15" x14ac:dyDescent="0.2">
      <c r="A67" s="72" t="s">
        <v>76</v>
      </c>
      <c r="B67" s="73">
        <v>6.4000000000000003E-3</v>
      </c>
      <c r="C67" s="37"/>
      <c r="D67" s="33"/>
      <c r="E67" s="33"/>
      <c r="F67" s="18"/>
    </row>
    <row r="68" spans="1:6" ht="15" x14ac:dyDescent="0.2">
      <c r="A68" s="72" t="s">
        <v>77</v>
      </c>
      <c r="B68" s="73">
        <v>8.3299999999999999E-2</v>
      </c>
      <c r="C68" s="37"/>
      <c r="D68" s="33"/>
      <c r="E68" s="33"/>
      <c r="F68" s="18"/>
    </row>
    <row r="69" spans="1:6" ht="15" x14ac:dyDescent="0.2">
      <c r="A69" s="72" t="s">
        <v>78</v>
      </c>
      <c r="B69" s="73">
        <v>4.0000000000000002E-4</v>
      </c>
      <c r="C69" s="37"/>
      <c r="D69" s="33"/>
      <c r="E69" s="33"/>
      <c r="F69" s="18"/>
    </row>
    <row r="70" spans="1:6" x14ac:dyDescent="0.2">
      <c r="A70" s="72" t="s">
        <v>79</v>
      </c>
      <c r="B70" s="73">
        <v>5.5999999999999999E-3</v>
      </c>
      <c r="C70" s="37"/>
      <c r="D70" s="33"/>
      <c r="E70" s="67"/>
      <c r="F70" s="38"/>
    </row>
    <row r="71" spans="1:6" x14ac:dyDescent="0.2">
      <c r="A71" s="72" t="s">
        <v>80</v>
      </c>
      <c r="B71" s="73">
        <v>8.0000000000000004E-4</v>
      </c>
      <c r="C71" s="32"/>
      <c r="D71" s="33"/>
      <c r="E71" s="33"/>
      <c r="F71" s="32"/>
    </row>
    <row r="72" spans="1:6" x14ac:dyDescent="0.2">
      <c r="A72" s="72" t="s">
        <v>81</v>
      </c>
      <c r="B72" s="73">
        <v>8.7400000000000005E-2</v>
      </c>
      <c r="C72" s="77"/>
      <c r="D72" s="20"/>
      <c r="E72" s="70"/>
      <c r="F72" s="71"/>
    </row>
    <row r="73" spans="1:6" x14ac:dyDescent="0.2">
      <c r="A73" s="72" t="s">
        <v>82</v>
      </c>
      <c r="B73" s="73">
        <v>2.9999999999999997E-4</v>
      </c>
      <c r="C73" s="77"/>
      <c r="D73" s="20"/>
      <c r="E73" s="70"/>
      <c r="F73" s="71"/>
    </row>
    <row r="74" spans="1:6" ht="15" x14ac:dyDescent="0.2">
      <c r="A74" s="74" t="s">
        <v>74</v>
      </c>
      <c r="B74" s="75">
        <f>SUM(B67:B73)</f>
        <v>0.1842</v>
      </c>
      <c r="C74" s="37"/>
      <c r="D74" s="33"/>
      <c r="E74" s="33"/>
      <c r="F74" s="18"/>
    </row>
    <row r="75" spans="1:6" ht="15" x14ac:dyDescent="0.2">
      <c r="A75" s="72"/>
      <c r="B75" s="73"/>
      <c r="C75" s="37"/>
      <c r="D75" s="33"/>
      <c r="E75" s="33"/>
      <c r="F75" s="18"/>
    </row>
    <row r="76" spans="1:6" ht="15" x14ac:dyDescent="0.25">
      <c r="A76" s="68" t="s">
        <v>83</v>
      </c>
      <c r="B76" s="76"/>
      <c r="C76" s="37"/>
      <c r="D76" s="38"/>
      <c r="E76" s="78"/>
      <c r="F76" s="38"/>
    </row>
    <row r="77" spans="1:6" ht="15" x14ac:dyDescent="0.25">
      <c r="A77" s="72" t="s">
        <v>84</v>
      </c>
      <c r="B77" s="73">
        <v>3.4700000000000002E-2</v>
      </c>
      <c r="C77" s="32"/>
      <c r="D77" s="78"/>
      <c r="E77" s="78"/>
      <c r="F77" s="32"/>
    </row>
    <row r="78" spans="1:6" ht="15" x14ac:dyDescent="0.25">
      <c r="A78" s="72" t="s">
        <v>85</v>
      </c>
      <c r="B78" s="73">
        <v>8.0000000000000004E-4</v>
      </c>
      <c r="C78" s="32"/>
      <c r="D78" s="78"/>
      <c r="E78" s="78"/>
      <c r="F78" s="32"/>
    </row>
    <row r="79" spans="1:6" ht="15" x14ac:dyDescent="0.25">
      <c r="A79" s="72" t="s">
        <v>86</v>
      </c>
      <c r="B79" s="73">
        <v>1.7100000000000001E-2</v>
      </c>
      <c r="C79" s="77"/>
      <c r="D79" s="78"/>
      <c r="E79" s="78"/>
      <c r="F79" s="71"/>
    </row>
    <row r="80" spans="1:6" ht="15" x14ac:dyDescent="0.25">
      <c r="A80" s="72" t="s">
        <v>87</v>
      </c>
      <c r="B80" s="73">
        <v>1.9300000000000001E-2</v>
      </c>
      <c r="C80" s="37"/>
      <c r="D80" s="78"/>
      <c r="E80" s="78"/>
      <c r="F80" s="18"/>
    </row>
    <row r="81" spans="1:6" ht="15" x14ac:dyDescent="0.25">
      <c r="A81" s="72" t="s">
        <v>88</v>
      </c>
      <c r="B81" s="73">
        <v>2.8999999999999998E-3</v>
      </c>
      <c r="C81" s="37"/>
      <c r="D81" s="78"/>
      <c r="E81" s="78"/>
      <c r="F81" s="18"/>
    </row>
    <row r="82" spans="1:6" ht="15" x14ac:dyDescent="0.25">
      <c r="A82" s="74" t="s">
        <v>74</v>
      </c>
      <c r="B82" s="75">
        <f>SUM(B77:B81)</f>
        <v>7.4800000000000005E-2</v>
      </c>
      <c r="C82" s="37"/>
      <c r="D82" s="78"/>
      <c r="E82" s="78"/>
      <c r="F82" s="18"/>
    </row>
    <row r="83" spans="1:6" ht="15" x14ac:dyDescent="0.25">
      <c r="A83" s="72"/>
      <c r="B83" s="73"/>
      <c r="C83" s="37"/>
      <c r="D83" s="78"/>
      <c r="E83" s="78"/>
      <c r="F83" s="18"/>
    </row>
    <row r="84" spans="1:6" ht="15" x14ac:dyDescent="0.25">
      <c r="A84" s="68" t="s">
        <v>89</v>
      </c>
      <c r="B84" s="73"/>
      <c r="C84" s="37"/>
      <c r="D84" s="78"/>
      <c r="E84" s="78"/>
      <c r="F84" s="18"/>
    </row>
    <row r="85" spans="1:6" ht="15" x14ac:dyDescent="0.25">
      <c r="A85" s="72" t="s">
        <v>90</v>
      </c>
      <c r="B85" s="73">
        <v>6.7799999999999999E-2</v>
      </c>
      <c r="C85" s="37"/>
      <c r="D85" s="78"/>
      <c r="E85" s="78"/>
      <c r="F85" s="18"/>
    </row>
    <row r="86" spans="1:6" ht="15" x14ac:dyDescent="0.25">
      <c r="A86" s="72" t="s">
        <v>91</v>
      </c>
      <c r="B86" s="73">
        <v>3.0999999999999999E-3</v>
      </c>
      <c r="C86" s="37"/>
      <c r="D86" s="78"/>
      <c r="E86" s="78"/>
      <c r="F86" s="18"/>
    </row>
    <row r="87" spans="1:6" ht="15" x14ac:dyDescent="0.25">
      <c r="A87" s="74" t="s">
        <v>74</v>
      </c>
      <c r="B87" s="75">
        <f>SUM(B85:B86)</f>
        <v>7.0900000000000005E-2</v>
      </c>
      <c r="C87" s="37"/>
      <c r="D87" s="78"/>
      <c r="E87" s="78"/>
      <c r="F87" s="18"/>
    </row>
    <row r="88" spans="1:6" ht="15" x14ac:dyDescent="0.25">
      <c r="A88" s="32"/>
      <c r="B88" s="32"/>
      <c r="C88" s="32"/>
      <c r="D88" s="78"/>
      <c r="E88" s="78"/>
      <c r="F88" s="32"/>
    </row>
    <row r="89" spans="1:6" ht="15" x14ac:dyDescent="0.25">
      <c r="A89" s="74" t="s">
        <v>92</v>
      </c>
      <c r="B89" s="75">
        <f>B64+B74+B82+B87</f>
        <v>0.69789999999999996</v>
      </c>
      <c r="C89" s="77"/>
      <c r="D89" s="78"/>
      <c r="E89" s="78"/>
      <c r="F89" s="38"/>
    </row>
    <row r="90" spans="1:6" x14ac:dyDescent="0.2">
      <c r="A90" s="32"/>
      <c r="B90" s="32"/>
      <c r="C90" s="32"/>
      <c r="D90" s="33"/>
      <c r="E90" s="33"/>
      <c r="F90" s="32"/>
    </row>
    <row r="91" spans="1:6" x14ac:dyDescent="0.2">
      <c r="A91" s="79" t="s">
        <v>93</v>
      </c>
      <c r="B91" s="32"/>
      <c r="C91" s="32"/>
      <c r="D91" s="33"/>
      <c r="E91" s="33"/>
      <c r="F91" s="32"/>
    </row>
    <row r="92" spans="1:6" ht="13.5" thickBot="1" x14ac:dyDescent="0.25">
      <c r="A92" s="79"/>
      <c r="B92" s="32"/>
      <c r="C92" s="32"/>
      <c r="D92" s="33"/>
      <c r="E92" s="33"/>
      <c r="F92" s="32"/>
    </row>
    <row r="93" spans="1:6" x14ac:dyDescent="0.2">
      <c r="A93" s="80" t="s">
        <v>94</v>
      </c>
      <c r="B93" s="81" t="s">
        <v>95</v>
      </c>
      <c r="C93" s="82">
        <v>0.05</v>
      </c>
      <c r="D93" s="33"/>
      <c r="E93" s="33"/>
      <c r="F93" s="32"/>
    </row>
    <row r="94" spans="1:6" x14ac:dyDescent="0.2">
      <c r="A94" s="83" t="s">
        <v>96</v>
      </c>
      <c r="B94" s="104" t="s">
        <v>97</v>
      </c>
      <c r="C94" s="84">
        <v>2.5000000000000001E-3</v>
      </c>
      <c r="D94" s="85"/>
      <c r="E94" s="33"/>
      <c r="F94" s="32"/>
    </row>
    <row r="95" spans="1:6" x14ac:dyDescent="0.2">
      <c r="A95" s="83" t="s">
        <v>98</v>
      </c>
      <c r="B95" s="104" t="s">
        <v>99</v>
      </c>
      <c r="C95" s="84">
        <v>0.05</v>
      </c>
      <c r="D95" s="33"/>
      <c r="E95" s="33"/>
      <c r="F95" s="32"/>
    </row>
    <row r="96" spans="1:6" x14ac:dyDescent="0.2">
      <c r="A96" s="83" t="s">
        <v>100</v>
      </c>
      <c r="B96" s="104" t="s">
        <v>101</v>
      </c>
      <c r="C96" s="84">
        <v>0.01</v>
      </c>
      <c r="D96" s="33"/>
      <c r="E96" s="33"/>
      <c r="F96" s="32"/>
    </row>
    <row r="97" spans="1:6" x14ac:dyDescent="0.2">
      <c r="A97" s="86" t="s">
        <v>102</v>
      </c>
      <c r="B97" s="331" t="s">
        <v>103</v>
      </c>
      <c r="C97" s="84">
        <v>0.05</v>
      </c>
      <c r="D97" s="33"/>
      <c r="E97" s="33"/>
      <c r="F97" s="32"/>
    </row>
    <row r="98" spans="1:6" ht="13.5" thickBot="1" x14ac:dyDescent="0.25">
      <c r="A98" s="106" t="s">
        <v>104</v>
      </c>
      <c r="B98" s="332"/>
      <c r="C98" s="90">
        <v>3.6499999999999998E-2</v>
      </c>
      <c r="D98" s="33"/>
      <c r="E98" s="33"/>
      <c r="F98" s="32"/>
    </row>
    <row r="99" spans="1:6" x14ac:dyDescent="0.2">
      <c r="A99" s="91" t="s">
        <v>105</v>
      </c>
      <c r="B99" s="92"/>
      <c r="C99" s="93"/>
      <c r="D99" s="33"/>
      <c r="E99" s="33"/>
      <c r="F99" s="32"/>
    </row>
    <row r="100" spans="1:6" ht="13.5" thickBot="1" x14ac:dyDescent="0.25">
      <c r="A100" s="94" t="s">
        <v>106</v>
      </c>
      <c r="B100" s="95"/>
      <c r="C100" s="96"/>
      <c r="D100" s="33"/>
      <c r="E100" s="33"/>
      <c r="F100" s="32"/>
    </row>
    <row r="101" spans="1:6" ht="13.5" thickBot="1" x14ac:dyDescent="0.25">
      <c r="A101" s="97" t="s">
        <v>107</v>
      </c>
      <c r="B101" s="98"/>
      <c r="C101" s="99">
        <f>ROUND((((1+C93+C94)*(1+C95)*(1+C96))/(1-(C97+C98))-1),4)</f>
        <v>0.22189999999999999</v>
      </c>
      <c r="D101" s="33"/>
      <c r="E101" s="33"/>
      <c r="F101" s="32"/>
    </row>
    <row r="102" spans="1:6" x14ac:dyDescent="0.2">
      <c r="A102" s="32"/>
      <c r="B102" s="32"/>
      <c r="C102" s="32"/>
      <c r="D102" s="33"/>
      <c r="E102" s="33"/>
      <c r="F102" s="32"/>
    </row>
    <row r="103" spans="1:6" x14ac:dyDescent="0.2">
      <c r="A103" s="393" t="s">
        <v>126</v>
      </c>
      <c r="B103" s="394"/>
      <c r="C103" s="395"/>
      <c r="D103" s="33"/>
      <c r="E103" s="33"/>
      <c r="F103" s="32"/>
    </row>
    <row r="104" spans="1:6" x14ac:dyDescent="0.2">
      <c r="A104" s="396"/>
      <c r="B104" s="397"/>
      <c r="C104" s="398"/>
      <c r="D104" s="33"/>
      <c r="E104" s="33"/>
      <c r="F104" s="32"/>
    </row>
    <row r="105" spans="1:6" x14ac:dyDescent="0.2">
      <c r="A105" s="396"/>
      <c r="B105" s="397"/>
      <c r="C105" s="398"/>
      <c r="D105" s="33"/>
      <c r="E105" s="33"/>
      <c r="F105" s="32"/>
    </row>
    <row r="106" spans="1:6" x14ac:dyDescent="0.2">
      <c r="A106" s="399"/>
      <c r="B106" s="400"/>
      <c r="C106" s="401"/>
      <c r="D106" s="33"/>
      <c r="E106" s="33"/>
      <c r="F106" s="32"/>
    </row>
    <row r="107" spans="1:6" x14ac:dyDescent="0.2">
      <c r="A107" s="100"/>
      <c r="B107" s="100"/>
      <c r="C107" s="100"/>
      <c r="D107" s="33"/>
      <c r="E107" s="33"/>
      <c r="F107" s="32"/>
    </row>
    <row r="108" spans="1:6" ht="15" x14ac:dyDescent="0.25">
      <c r="A108" s="278"/>
      <c r="B108" s="278"/>
      <c r="C108" s="100"/>
      <c r="D108" s="33"/>
      <c r="E108" s="33"/>
      <c r="F108" s="32"/>
    </row>
    <row r="109" spans="1:6" ht="15" x14ac:dyDescent="0.25">
      <c r="A109" s="278"/>
      <c r="B109" s="278"/>
      <c r="C109" s="100"/>
      <c r="D109" s="33"/>
      <c r="E109" s="33"/>
      <c r="F109" s="32"/>
    </row>
  </sheetData>
  <mergeCells count="17">
    <mergeCell ref="A51:C51"/>
    <mergeCell ref="B97:B98"/>
    <mergeCell ref="A103:C106"/>
    <mergeCell ref="A108:B108"/>
    <mergeCell ref="A109:B109"/>
    <mergeCell ref="A42:C42"/>
    <mergeCell ref="A2:D2"/>
    <mergeCell ref="A4:D9"/>
    <mergeCell ref="B12:C12"/>
    <mergeCell ref="B13:C13"/>
    <mergeCell ref="B14:C14"/>
    <mergeCell ref="B15:C15"/>
    <mergeCell ref="B16:C16"/>
    <mergeCell ref="A18:C18"/>
    <mergeCell ref="A21:C21"/>
    <mergeCell ref="A22:C22"/>
    <mergeCell ref="A32:C3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34" workbookViewId="0">
      <selection activeCell="D51" sqref="D51"/>
    </sheetView>
  </sheetViews>
  <sheetFormatPr defaultRowHeight="12.75" x14ac:dyDescent="0.2"/>
  <cols>
    <col min="1" max="1" width="27.7109375" customWidth="1"/>
    <col min="4" max="4" width="61.85546875" customWidth="1"/>
    <col min="6" max="6" width="15.28515625" customWidth="1"/>
  </cols>
  <sheetData>
    <row r="1" spans="1:6" ht="15" x14ac:dyDescent="0.2">
      <c r="A1" s="18"/>
      <c r="B1" s="19"/>
      <c r="C1" s="19"/>
      <c r="D1" s="20"/>
      <c r="E1" s="20"/>
      <c r="F1" s="18"/>
    </row>
    <row r="2" spans="1:6" ht="15" x14ac:dyDescent="0.2">
      <c r="A2" s="379" t="s">
        <v>112</v>
      </c>
      <c r="B2" s="379"/>
      <c r="C2" s="379"/>
      <c r="D2" s="379"/>
      <c r="E2" s="21"/>
      <c r="F2" s="21"/>
    </row>
    <row r="3" spans="1:6" ht="15" x14ac:dyDescent="0.2">
      <c r="A3" s="18"/>
      <c r="B3" s="19"/>
      <c r="C3" s="19"/>
      <c r="D3" s="22"/>
      <c r="E3" s="22"/>
      <c r="F3" s="18"/>
    </row>
    <row r="4" spans="1:6" ht="15" x14ac:dyDescent="0.2">
      <c r="A4" s="380" t="s">
        <v>185</v>
      </c>
      <c r="B4" s="380"/>
      <c r="C4" s="380"/>
      <c r="D4" s="380"/>
      <c r="E4" s="22"/>
      <c r="F4" s="18"/>
    </row>
    <row r="5" spans="1:6" ht="15" x14ac:dyDescent="0.2">
      <c r="A5" s="380"/>
      <c r="B5" s="380"/>
      <c r="C5" s="380"/>
      <c r="D5" s="380"/>
      <c r="E5" s="22"/>
      <c r="F5" s="18"/>
    </row>
    <row r="6" spans="1:6" ht="15" x14ac:dyDescent="0.2">
      <c r="A6" s="380"/>
      <c r="B6" s="380"/>
      <c r="C6" s="380"/>
      <c r="D6" s="380"/>
      <c r="E6" s="22"/>
      <c r="F6" s="18"/>
    </row>
    <row r="7" spans="1:6" ht="15" x14ac:dyDescent="0.2">
      <c r="A7" s="380"/>
      <c r="B7" s="380"/>
      <c r="C7" s="380"/>
      <c r="D7" s="380"/>
      <c r="E7" s="22"/>
      <c r="F7" s="18"/>
    </row>
    <row r="8" spans="1:6" ht="15" x14ac:dyDescent="0.2">
      <c r="A8" s="380"/>
      <c r="B8" s="380"/>
      <c r="C8" s="380"/>
      <c r="D8" s="380"/>
      <c r="E8" s="22"/>
      <c r="F8" s="18"/>
    </row>
    <row r="9" spans="1:6" ht="15" x14ac:dyDescent="0.2">
      <c r="A9" s="380"/>
      <c r="B9" s="380"/>
      <c r="C9" s="380"/>
      <c r="D9" s="380"/>
      <c r="E9" s="22"/>
      <c r="F9" s="18"/>
    </row>
    <row r="10" spans="1:6" ht="15" x14ac:dyDescent="0.2">
      <c r="A10" s="18"/>
      <c r="B10" s="19"/>
      <c r="C10" s="19"/>
      <c r="D10" s="22"/>
      <c r="E10" s="22"/>
      <c r="F10" s="18"/>
    </row>
    <row r="11" spans="1:6" ht="15.75" thickBot="1" x14ac:dyDescent="0.25">
      <c r="A11" s="23" t="s">
        <v>21</v>
      </c>
      <c r="B11" s="20"/>
      <c r="C11" s="20"/>
      <c r="D11" s="24">
        <v>45855</v>
      </c>
      <c r="E11" s="18"/>
      <c r="F11" s="18"/>
    </row>
    <row r="12" spans="1:6" ht="15" x14ac:dyDescent="0.2">
      <c r="A12" s="25" t="s">
        <v>22</v>
      </c>
      <c r="B12" s="381" t="s">
        <v>23</v>
      </c>
      <c r="C12" s="381"/>
      <c r="D12" s="26" t="s">
        <v>24</v>
      </c>
      <c r="E12" s="18"/>
      <c r="F12" s="18"/>
    </row>
    <row r="13" spans="1:6" ht="15" x14ac:dyDescent="0.2">
      <c r="A13" s="27" t="s">
        <v>25</v>
      </c>
      <c r="B13" s="283">
        <f>D30</f>
        <v>10717.4028808</v>
      </c>
      <c r="C13" s="284"/>
      <c r="D13" s="28">
        <f>+B13/D$51</f>
        <v>0.80377193316739171</v>
      </c>
      <c r="E13" s="18"/>
      <c r="F13" s="18"/>
    </row>
    <row r="14" spans="1:6" ht="15" x14ac:dyDescent="0.2">
      <c r="A14" s="27" t="s">
        <v>26</v>
      </c>
      <c r="B14" s="283">
        <f>E42</f>
        <v>195.01666666666665</v>
      </c>
      <c r="C14" s="284"/>
      <c r="D14" s="28">
        <f>+B14/D$51</f>
        <v>1.462564437577875E-2</v>
      </c>
      <c r="E14" s="18"/>
      <c r="F14" s="18"/>
    </row>
    <row r="15" spans="1:6" ht="15.75" thickBot="1" x14ac:dyDescent="0.25">
      <c r="A15" s="29" t="s">
        <v>27</v>
      </c>
      <c r="B15" s="283">
        <f>D49</f>
        <v>2421.4658975828534</v>
      </c>
      <c r="C15" s="284"/>
      <c r="D15" s="28">
        <f>+B15/D$51</f>
        <v>0.18160242245682953</v>
      </c>
      <c r="E15" s="18"/>
      <c r="F15" s="18"/>
    </row>
    <row r="16" spans="1:6" ht="15.75" thickBot="1" x14ac:dyDescent="0.25">
      <c r="A16" s="30" t="s">
        <v>328</v>
      </c>
      <c r="B16" s="285">
        <f>SUM(B13:C15)</f>
        <v>13333.88544504952</v>
      </c>
      <c r="C16" s="286"/>
      <c r="D16" s="31">
        <f>SUM(D13:D15)</f>
        <v>1</v>
      </c>
      <c r="E16" s="18"/>
      <c r="F16" s="18"/>
    </row>
    <row r="17" spans="1:9" ht="13.5" thickBot="1" x14ac:dyDescent="0.25">
      <c r="A17" s="32"/>
      <c r="B17" s="32"/>
      <c r="C17" s="32"/>
      <c r="D17" s="33"/>
      <c r="E17" s="33"/>
      <c r="F17" s="32"/>
    </row>
    <row r="18" spans="1:9" ht="13.5" thickBot="1" x14ac:dyDescent="0.25">
      <c r="A18" s="382" t="s">
        <v>28</v>
      </c>
      <c r="B18" s="383"/>
      <c r="C18" s="383"/>
      <c r="D18" s="34">
        <f>B16/220</f>
        <v>60.608570204770544</v>
      </c>
      <c r="E18" s="33"/>
      <c r="F18" s="32"/>
    </row>
    <row r="19" spans="1:9" x14ac:dyDescent="0.2">
      <c r="A19" s="32"/>
      <c r="B19" s="32"/>
      <c r="C19" s="32"/>
      <c r="D19" s="33"/>
      <c r="E19" s="33"/>
      <c r="F19" s="32"/>
    </row>
    <row r="20" spans="1:9" ht="15.75" thickBot="1" x14ac:dyDescent="0.25">
      <c r="A20" s="23" t="s">
        <v>29</v>
      </c>
      <c r="B20" s="33"/>
      <c r="C20" s="33"/>
      <c r="D20" s="33"/>
      <c r="E20" s="33"/>
      <c r="F20" s="18"/>
    </row>
    <row r="21" spans="1:9" ht="15" x14ac:dyDescent="0.2">
      <c r="A21" s="384" t="s">
        <v>30</v>
      </c>
      <c r="B21" s="385"/>
      <c r="C21" s="386"/>
      <c r="D21" s="35" t="s">
        <v>31</v>
      </c>
      <c r="E21" s="18"/>
      <c r="F21" s="18"/>
    </row>
    <row r="22" spans="1:9" ht="15.75" thickBot="1" x14ac:dyDescent="0.25">
      <c r="A22" s="387" t="s">
        <v>108</v>
      </c>
      <c r="B22" s="388"/>
      <c r="C22" s="389"/>
      <c r="D22" s="36">
        <v>1</v>
      </c>
      <c r="E22" s="18"/>
      <c r="F22" s="18"/>
    </row>
    <row r="23" spans="1:9" ht="15" x14ac:dyDescent="0.2">
      <c r="A23" s="37"/>
      <c r="B23" s="37"/>
      <c r="C23" s="37"/>
      <c r="D23" s="32"/>
      <c r="E23" s="32"/>
      <c r="F23" s="18"/>
    </row>
    <row r="24" spans="1:9" x14ac:dyDescent="0.2">
      <c r="A24" s="38" t="s">
        <v>32</v>
      </c>
      <c r="B24" s="32"/>
      <c r="C24" s="32"/>
      <c r="D24" s="33"/>
      <c r="E24" s="33"/>
      <c r="F24" s="32"/>
    </row>
    <row r="25" spans="1:9" ht="13.5" thickBot="1" x14ac:dyDescent="0.25">
      <c r="A25" s="32"/>
      <c r="B25" s="32"/>
      <c r="C25" s="32"/>
      <c r="D25" s="33"/>
      <c r="E25" s="33"/>
      <c r="F25" s="32"/>
    </row>
    <row r="26" spans="1:9" x14ac:dyDescent="0.2">
      <c r="A26" s="39" t="s">
        <v>33</v>
      </c>
      <c r="B26" s="40" t="s">
        <v>34</v>
      </c>
      <c r="C26" s="40" t="s">
        <v>31</v>
      </c>
      <c r="D26" s="41" t="s">
        <v>35</v>
      </c>
      <c r="E26" s="32"/>
      <c r="F26" s="32"/>
    </row>
    <row r="27" spans="1:9" x14ac:dyDescent="0.2">
      <c r="A27" s="101" t="s">
        <v>36</v>
      </c>
      <c r="B27" s="87" t="s">
        <v>37</v>
      </c>
      <c r="C27" s="87">
        <v>1</v>
      </c>
      <c r="D27" s="44">
        <v>5580.06</v>
      </c>
      <c r="E27" s="102" t="s">
        <v>179</v>
      </c>
      <c r="F27" s="102" t="s">
        <v>329</v>
      </c>
    </row>
    <row r="28" spans="1:9" ht="15" x14ac:dyDescent="0.2">
      <c r="A28" s="107" t="s">
        <v>38</v>
      </c>
      <c r="B28" s="46" t="s">
        <v>24</v>
      </c>
      <c r="C28" s="46">
        <v>40</v>
      </c>
      <c r="D28" s="44">
        <f>(C28/100)*1830.23</f>
        <v>732.0920000000001</v>
      </c>
      <c r="E28" s="32" t="s">
        <v>172</v>
      </c>
      <c r="F28" s="32"/>
      <c r="I28" t="s">
        <v>180</v>
      </c>
    </row>
    <row r="29" spans="1:9" x14ac:dyDescent="0.2">
      <c r="A29" s="101" t="s">
        <v>39</v>
      </c>
      <c r="B29" s="87" t="s">
        <v>24</v>
      </c>
      <c r="C29" s="47">
        <f>B89</f>
        <v>0.69789999999999996</v>
      </c>
      <c r="D29" s="44">
        <f>0.6979*(D27+D28)</f>
        <v>4405.2508808000002</v>
      </c>
      <c r="E29" s="32"/>
      <c r="F29" s="32"/>
    </row>
    <row r="30" spans="1:9" ht="13.5" thickBot="1" x14ac:dyDescent="0.25">
      <c r="A30" s="377" t="s">
        <v>44</v>
      </c>
      <c r="B30" s="378"/>
      <c r="C30" s="378"/>
      <c r="D30" s="50">
        <f>SUM(D27:D29)</f>
        <v>10717.4028808</v>
      </c>
      <c r="E30" s="32"/>
      <c r="F30" s="32"/>
    </row>
    <row r="31" spans="1:9" x14ac:dyDescent="0.2">
      <c r="A31" s="32"/>
      <c r="B31" s="32"/>
      <c r="C31" s="32"/>
      <c r="D31" s="33"/>
      <c r="E31" s="33"/>
      <c r="F31" s="32"/>
    </row>
    <row r="32" spans="1:9" x14ac:dyDescent="0.2">
      <c r="A32" s="38" t="s">
        <v>45</v>
      </c>
      <c r="B32" s="32"/>
      <c r="C32" s="32"/>
      <c r="D32" s="33"/>
      <c r="E32" s="33"/>
      <c r="F32" s="32"/>
    </row>
    <row r="33" spans="1:8" ht="13.5" thickBot="1" x14ac:dyDescent="0.25">
      <c r="A33" s="32"/>
      <c r="B33" s="32"/>
      <c r="C33" s="32"/>
      <c r="D33" s="33"/>
      <c r="E33" s="33"/>
      <c r="F33" s="32"/>
    </row>
    <row r="34" spans="1:8" x14ac:dyDescent="0.2">
      <c r="A34" s="39" t="s">
        <v>33</v>
      </c>
      <c r="B34" s="40" t="s">
        <v>34</v>
      </c>
      <c r="C34" s="40" t="s">
        <v>31</v>
      </c>
      <c r="D34" s="41" t="s">
        <v>46</v>
      </c>
      <c r="E34" s="41" t="s">
        <v>47</v>
      </c>
      <c r="F34" s="41" t="s">
        <v>48</v>
      </c>
      <c r="G34" s="41" t="s">
        <v>49</v>
      </c>
      <c r="H34" s="41" t="s">
        <v>50</v>
      </c>
    </row>
    <row r="35" spans="1:8" ht="25.5" x14ac:dyDescent="0.2">
      <c r="A35" s="168" t="s">
        <v>181</v>
      </c>
      <c r="B35" s="110" t="s">
        <v>51</v>
      </c>
      <c r="C35" s="166">
        <v>132</v>
      </c>
      <c r="D35" s="51">
        <f>C35*F35</f>
        <v>1729.2</v>
      </c>
      <c r="E35" s="167">
        <f>D35/12</f>
        <v>144.1</v>
      </c>
      <c r="F35" s="167">
        <v>13.1</v>
      </c>
      <c r="G35" s="167"/>
      <c r="H35" s="167"/>
    </row>
    <row r="36" spans="1:8" ht="45" x14ac:dyDescent="0.2">
      <c r="A36" s="169" t="s">
        <v>182</v>
      </c>
      <c r="B36" s="87" t="s">
        <v>183</v>
      </c>
      <c r="C36" s="46">
        <v>7</v>
      </c>
      <c r="D36" s="51">
        <f t="shared" ref="D36:D41" si="0">C36*F36</f>
        <v>184.79999999999998</v>
      </c>
      <c r="E36" s="52">
        <f t="shared" ref="E36:E42" si="1">D36/12</f>
        <v>15.399999999999999</v>
      </c>
      <c r="F36" s="53">
        <v>26.4</v>
      </c>
      <c r="G36" s="54">
        <v>1</v>
      </c>
      <c r="H36" s="14">
        <v>60</v>
      </c>
    </row>
    <row r="37" spans="1:8" ht="15" x14ac:dyDescent="0.2">
      <c r="A37" s="101" t="s">
        <v>184</v>
      </c>
      <c r="B37" s="87" t="s">
        <v>52</v>
      </c>
      <c r="C37" s="46">
        <v>4</v>
      </c>
      <c r="D37" s="51">
        <f t="shared" si="0"/>
        <v>178.16</v>
      </c>
      <c r="E37" s="52">
        <f t="shared" si="1"/>
        <v>14.846666666666666</v>
      </c>
      <c r="F37" s="53">
        <v>44.54</v>
      </c>
      <c r="G37" s="54">
        <v>1</v>
      </c>
      <c r="H37" s="14">
        <v>90</v>
      </c>
    </row>
    <row r="38" spans="1:8" ht="15" x14ac:dyDescent="0.2">
      <c r="A38" s="107" t="s">
        <v>54</v>
      </c>
      <c r="B38" s="87" t="s">
        <v>51</v>
      </c>
      <c r="C38" s="87">
        <v>6</v>
      </c>
      <c r="D38" s="51">
        <f t="shared" si="0"/>
        <v>14.16</v>
      </c>
      <c r="E38" s="52">
        <f t="shared" si="1"/>
        <v>1.18</v>
      </c>
      <c r="F38" s="53">
        <v>2.36</v>
      </c>
      <c r="G38" s="54">
        <v>0.3</v>
      </c>
      <c r="H38" s="14">
        <v>20</v>
      </c>
    </row>
    <row r="39" spans="1:8" ht="15" x14ac:dyDescent="0.2">
      <c r="A39" s="170" t="s">
        <v>56</v>
      </c>
      <c r="B39" s="48" t="s">
        <v>51</v>
      </c>
      <c r="C39" s="48">
        <v>73</v>
      </c>
      <c r="D39" s="51">
        <f t="shared" si="0"/>
        <v>128.47999999999999</v>
      </c>
      <c r="E39" s="52">
        <f t="shared" si="1"/>
        <v>10.706666666666665</v>
      </c>
      <c r="F39" s="53">
        <v>1.76</v>
      </c>
      <c r="G39" s="54">
        <v>0.2</v>
      </c>
      <c r="H39" s="14">
        <v>1</v>
      </c>
    </row>
    <row r="40" spans="1:8" ht="15" x14ac:dyDescent="0.2">
      <c r="A40" s="170" t="s">
        <v>57</v>
      </c>
      <c r="B40" s="48" t="s">
        <v>51</v>
      </c>
      <c r="C40" s="48">
        <v>2</v>
      </c>
      <c r="D40" s="51">
        <f t="shared" si="0"/>
        <v>40.9</v>
      </c>
      <c r="E40" s="52">
        <f t="shared" si="1"/>
        <v>3.4083333333333332</v>
      </c>
      <c r="F40" s="53">
        <v>20.45</v>
      </c>
      <c r="G40" s="54">
        <v>0.2</v>
      </c>
      <c r="H40" s="14">
        <v>60</v>
      </c>
    </row>
    <row r="41" spans="1:8" ht="15" x14ac:dyDescent="0.2">
      <c r="A41" s="170" t="s">
        <v>58</v>
      </c>
      <c r="B41" s="48" t="s">
        <v>51</v>
      </c>
      <c r="C41" s="48">
        <v>2</v>
      </c>
      <c r="D41" s="51">
        <f t="shared" si="0"/>
        <v>64.5</v>
      </c>
      <c r="E41" s="52">
        <f t="shared" si="1"/>
        <v>5.375</v>
      </c>
      <c r="F41" s="53">
        <v>32.25</v>
      </c>
      <c r="G41" s="54">
        <v>0.5</v>
      </c>
      <c r="H41" s="14">
        <v>90</v>
      </c>
    </row>
    <row r="42" spans="1:8" ht="13.5" thickBot="1" x14ac:dyDescent="0.25">
      <c r="A42" s="377" t="s">
        <v>60</v>
      </c>
      <c r="B42" s="378"/>
      <c r="C42" s="378"/>
      <c r="D42" s="55">
        <f>SUM(D35:D41)</f>
        <v>2340.1999999999998</v>
      </c>
      <c r="E42" s="55">
        <f t="shared" si="1"/>
        <v>195.01666666666665</v>
      </c>
      <c r="F42" s="56"/>
    </row>
    <row r="43" spans="1:8" ht="13.5" thickBot="1" x14ac:dyDescent="0.25">
      <c r="A43" s="32"/>
      <c r="B43" s="32"/>
      <c r="C43" s="32"/>
      <c r="D43" s="33"/>
      <c r="E43" s="33"/>
      <c r="F43" s="32"/>
    </row>
    <row r="44" spans="1:8" ht="13.5" thickBot="1" x14ac:dyDescent="0.25">
      <c r="A44" s="57" t="s">
        <v>61</v>
      </c>
      <c r="B44" s="58"/>
      <c r="C44" s="58"/>
      <c r="D44" s="59">
        <f>D30+E42</f>
        <v>10912.419547466667</v>
      </c>
      <c r="E44" s="32"/>
      <c r="F44" s="32"/>
    </row>
    <row r="45" spans="1:8" x14ac:dyDescent="0.2">
      <c r="A45" s="32"/>
      <c r="B45" s="32"/>
      <c r="C45" s="32"/>
      <c r="D45" s="33"/>
      <c r="E45" s="32"/>
      <c r="F45" s="32"/>
    </row>
    <row r="46" spans="1:8" x14ac:dyDescent="0.2">
      <c r="A46" s="38" t="s">
        <v>62</v>
      </c>
      <c r="B46" s="32"/>
      <c r="C46" s="32"/>
      <c r="D46" s="33"/>
      <c r="E46" s="32"/>
      <c r="F46" s="32"/>
    </row>
    <row r="47" spans="1:8" ht="13.5" thickBot="1" x14ac:dyDescent="0.25">
      <c r="A47" s="32"/>
      <c r="B47" s="32"/>
      <c r="C47" s="32"/>
      <c r="D47" s="33"/>
      <c r="E47" s="32"/>
      <c r="F47" s="32"/>
    </row>
    <row r="48" spans="1:8" x14ac:dyDescent="0.2">
      <c r="A48" s="39" t="s">
        <v>33</v>
      </c>
      <c r="B48" s="40" t="s">
        <v>34</v>
      </c>
      <c r="C48" s="40" t="s">
        <v>31</v>
      </c>
      <c r="D48" s="41" t="s">
        <v>35</v>
      </c>
      <c r="E48" s="32"/>
      <c r="F48" s="32"/>
    </row>
    <row r="49" spans="1:6" ht="13.5" thickBot="1" x14ac:dyDescent="0.25">
      <c r="A49" s="60" t="s">
        <v>63</v>
      </c>
      <c r="B49" s="89" t="s">
        <v>24</v>
      </c>
      <c r="C49" s="89">
        <v>22.19</v>
      </c>
      <c r="D49" s="55">
        <f>(C49/100)*D44</f>
        <v>2421.4658975828534</v>
      </c>
      <c r="E49" s="32"/>
      <c r="F49" s="32"/>
    </row>
    <row r="50" spans="1:6" ht="13.5" thickBot="1" x14ac:dyDescent="0.25">
      <c r="A50" s="32"/>
      <c r="B50" s="32"/>
      <c r="C50" s="32"/>
      <c r="D50" s="33"/>
      <c r="E50" s="32"/>
      <c r="F50" s="32"/>
    </row>
    <row r="51" spans="1:6" ht="13.5" thickBot="1" x14ac:dyDescent="0.25">
      <c r="A51" s="390" t="s">
        <v>64</v>
      </c>
      <c r="B51" s="391"/>
      <c r="C51" s="392"/>
      <c r="D51" s="59">
        <f>D44+D49</f>
        <v>13333.88544504952</v>
      </c>
      <c r="E51" s="32"/>
      <c r="F51" s="32"/>
    </row>
    <row r="52" spans="1:6" ht="15.75" x14ac:dyDescent="0.2">
      <c r="A52" s="62"/>
      <c r="B52" s="62"/>
      <c r="C52" s="62"/>
      <c r="D52" s="63"/>
      <c r="E52" s="63"/>
      <c r="F52" s="32"/>
    </row>
    <row r="53" spans="1:6" ht="15.75" x14ac:dyDescent="0.2">
      <c r="A53" s="64" t="s">
        <v>39</v>
      </c>
      <c r="B53" s="33"/>
      <c r="C53" s="33"/>
      <c r="D53" s="33"/>
      <c r="E53" s="33"/>
      <c r="F53" s="18"/>
    </row>
    <row r="54" spans="1:6" x14ac:dyDescent="0.2">
      <c r="A54" s="65"/>
      <c r="B54" s="66"/>
      <c r="C54" s="37"/>
      <c r="D54" s="33"/>
      <c r="E54" s="67"/>
      <c r="F54" s="38"/>
    </row>
    <row r="55" spans="1:6" x14ac:dyDescent="0.2">
      <c r="A55" s="68" t="s">
        <v>65</v>
      </c>
      <c r="B55" s="69"/>
      <c r="C55" s="37"/>
      <c r="D55" s="33"/>
      <c r="E55" s="70"/>
      <c r="F55" s="71"/>
    </row>
    <row r="56" spans="1:6" ht="15" x14ac:dyDescent="0.2">
      <c r="A56" s="72" t="s">
        <v>66</v>
      </c>
      <c r="B56" s="73">
        <v>0.2</v>
      </c>
      <c r="C56" s="37"/>
      <c r="D56" s="33"/>
      <c r="E56" s="33"/>
      <c r="F56" s="18"/>
    </row>
    <row r="57" spans="1:6" ht="15" x14ac:dyDescent="0.2">
      <c r="A57" s="72" t="s">
        <v>67</v>
      </c>
      <c r="B57" s="73">
        <v>1.4999999999999999E-2</v>
      </c>
      <c r="C57" s="37"/>
      <c r="D57" s="33"/>
      <c r="E57" s="33"/>
      <c r="F57" s="18"/>
    </row>
    <row r="58" spans="1:6" ht="15" x14ac:dyDescent="0.2">
      <c r="A58" s="72" t="s">
        <v>68</v>
      </c>
      <c r="B58" s="73">
        <v>0.01</v>
      </c>
      <c r="C58" s="37"/>
      <c r="D58" s="33"/>
      <c r="E58" s="33"/>
      <c r="F58" s="18"/>
    </row>
    <row r="59" spans="1:6" ht="15" x14ac:dyDescent="0.2">
      <c r="A59" s="72" t="s">
        <v>69</v>
      </c>
      <c r="B59" s="73">
        <v>2E-3</v>
      </c>
      <c r="C59" s="37"/>
      <c r="D59" s="33"/>
      <c r="E59" s="33"/>
      <c r="F59" s="18"/>
    </row>
    <row r="60" spans="1:6" ht="15" x14ac:dyDescent="0.2">
      <c r="A60" s="72" t="s">
        <v>70</v>
      </c>
      <c r="B60" s="73">
        <v>6.0000000000000001E-3</v>
      </c>
      <c r="C60" s="37"/>
      <c r="D60" s="33"/>
      <c r="E60" s="33"/>
      <c r="F60" s="18"/>
    </row>
    <row r="61" spans="1:6" ht="15" x14ac:dyDescent="0.2">
      <c r="A61" s="72" t="s">
        <v>71</v>
      </c>
      <c r="B61" s="73">
        <v>2.5000000000000001E-2</v>
      </c>
      <c r="C61" s="37"/>
      <c r="D61" s="33"/>
      <c r="E61" s="33"/>
      <c r="F61" s="18"/>
    </row>
    <row r="62" spans="1:6" ht="15" x14ac:dyDescent="0.2">
      <c r="A62" s="72" t="s">
        <v>72</v>
      </c>
      <c r="B62" s="73">
        <v>0.03</v>
      </c>
      <c r="C62" s="37"/>
      <c r="D62" s="33"/>
      <c r="E62" s="33"/>
      <c r="F62" s="18"/>
    </row>
    <row r="63" spans="1:6" ht="15" x14ac:dyDescent="0.2">
      <c r="A63" s="72" t="s">
        <v>73</v>
      </c>
      <c r="B63" s="73">
        <v>0.08</v>
      </c>
      <c r="C63" s="37"/>
      <c r="D63" s="33"/>
      <c r="E63" s="33"/>
      <c r="F63" s="18"/>
    </row>
    <row r="64" spans="1:6" x14ac:dyDescent="0.2">
      <c r="A64" s="74" t="s">
        <v>74</v>
      </c>
      <c r="B64" s="75">
        <f>SUM(B56:B63)</f>
        <v>0.36800000000000005</v>
      </c>
      <c r="C64" s="37"/>
      <c r="D64" s="33"/>
      <c r="E64" s="67"/>
      <c r="F64" s="38"/>
    </row>
    <row r="65" spans="1:6" x14ac:dyDescent="0.2">
      <c r="A65" s="32"/>
      <c r="B65" s="32"/>
      <c r="C65" s="32"/>
      <c r="D65" s="33"/>
      <c r="E65" s="33"/>
      <c r="F65" s="32"/>
    </row>
    <row r="66" spans="1:6" x14ac:dyDescent="0.2">
      <c r="A66" s="68" t="s">
        <v>75</v>
      </c>
      <c r="B66" s="76"/>
      <c r="C66" s="37"/>
      <c r="D66" s="33"/>
      <c r="E66" s="70"/>
      <c r="F66" s="71"/>
    </row>
    <row r="67" spans="1:6" ht="15" x14ac:dyDescent="0.2">
      <c r="A67" s="72" t="s">
        <v>76</v>
      </c>
      <c r="B67" s="73">
        <v>6.4000000000000003E-3</v>
      </c>
      <c r="C67" s="37"/>
      <c r="D67" s="33"/>
      <c r="E67" s="33"/>
      <c r="F67" s="18"/>
    </row>
    <row r="68" spans="1:6" ht="15" x14ac:dyDescent="0.2">
      <c r="A68" s="72" t="s">
        <v>77</v>
      </c>
      <c r="B68" s="73">
        <v>8.3299999999999999E-2</v>
      </c>
      <c r="C68" s="37"/>
      <c r="D68" s="33"/>
      <c r="E68" s="33"/>
      <c r="F68" s="18"/>
    </row>
    <row r="69" spans="1:6" ht="15" x14ac:dyDescent="0.2">
      <c r="A69" s="72" t="s">
        <v>78</v>
      </c>
      <c r="B69" s="73">
        <v>4.0000000000000002E-4</v>
      </c>
      <c r="C69" s="37"/>
      <c r="D69" s="33"/>
      <c r="E69" s="33"/>
      <c r="F69" s="18"/>
    </row>
    <row r="70" spans="1:6" x14ac:dyDescent="0.2">
      <c r="A70" s="72" t="s">
        <v>79</v>
      </c>
      <c r="B70" s="73">
        <v>5.5999999999999999E-3</v>
      </c>
      <c r="C70" s="37"/>
      <c r="D70" s="33"/>
      <c r="E70" s="67"/>
      <c r="F70" s="38"/>
    </row>
    <row r="71" spans="1:6" x14ac:dyDescent="0.2">
      <c r="A71" s="72" t="s">
        <v>80</v>
      </c>
      <c r="B71" s="73">
        <v>8.0000000000000004E-4</v>
      </c>
      <c r="C71" s="32"/>
      <c r="D71" s="33"/>
      <c r="E71" s="33"/>
      <c r="F71" s="32"/>
    </row>
    <row r="72" spans="1:6" x14ac:dyDescent="0.2">
      <c r="A72" s="72" t="s">
        <v>81</v>
      </c>
      <c r="B72" s="73">
        <v>8.7400000000000005E-2</v>
      </c>
      <c r="C72" s="77"/>
      <c r="D72" s="20"/>
      <c r="E72" s="70"/>
      <c r="F72" s="71"/>
    </row>
    <row r="73" spans="1:6" x14ac:dyDescent="0.2">
      <c r="A73" s="72" t="s">
        <v>82</v>
      </c>
      <c r="B73" s="73">
        <v>2.9999999999999997E-4</v>
      </c>
      <c r="C73" s="77"/>
      <c r="D73" s="20"/>
      <c r="E73" s="70"/>
      <c r="F73" s="71"/>
    </row>
    <row r="74" spans="1:6" ht="15" x14ac:dyDescent="0.2">
      <c r="A74" s="74" t="s">
        <v>74</v>
      </c>
      <c r="B74" s="75">
        <f>SUM(B67:B73)</f>
        <v>0.1842</v>
      </c>
      <c r="C74" s="37"/>
      <c r="D74" s="33"/>
      <c r="E74" s="33"/>
      <c r="F74" s="18"/>
    </row>
    <row r="75" spans="1:6" ht="15" x14ac:dyDescent="0.2">
      <c r="A75" s="72"/>
      <c r="B75" s="73"/>
      <c r="C75" s="37"/>
      <c r="D75" s="33"/>
      <c r="E75" s="33"/>
      <c r="F75" s="18"/>
    </row>
    <row r="76" spans="1:6" ht="15" x14ac:dyDescent="0.25">
      <c r="A76" s="68" t="s">
        <v>83</v>
      </c>
      <c r="B76" s="76"/>
      <c r="C76" s="37"/>
      <c r="D76" s="38"/>
      <c r="E76" s="78"/>
      <c r="F76" s="38"/>
    </row>
    <row r="77" spans="1:6" ht="15" x14ac:dyDescent="0.25">
      <c r="A77" s="72" t="s">
        <v>84</v>
      </c>
      <c r="B77" s="73">
        <v>3.4700000000000002E-2</v>
      </c>
      <c r="C77" s="32"/>
      <c r="D77" s="78"/>
      <c r="E77" s="78"/>
      <c r="F77" s="32"/>
    </row>
    <row r="78" spans="1:6" ht="15" x14ac:dyDescent="0.25">
      <c r="A78" s="72" t="s">
        <v>85</v>
      </c>
      <c r="B78" s="73">
        <v>8.0000000000000004E-4</v>
      </c>
      <c r="C78" s="32"/>
      <c r="D78" s="78"/>
      <c r="E78" s="78"/>
      <c r="F78" s="32"/>
    </row>
    <row r="79" spans="1:6" ht="15" x14ac:dyDescent="0.25">
      <c r="A79" s="72" t="s">
        <v>86</v>
      </c>
      <c r="B79" s="73">
        <v>1.7100000000000001E-2</v>
      </c>
      <c r="C79" s="77"/>
      <c r="D79" s="78"/>
      <c r="E79" s="78"/>
      <c r="F79" s="71"/>
    </row>
    <row r="80" spans="1:6" ht="15" x14ac:dyDescent="0.25">
      <c r="A80" s="72" t="s">
        <v>87</v>
      </c>
      <c r="B80" s="73">
        <v>1.9300000000000001E-2</v>
      </c>
      <c r="C80" s="37"/>
      <c r="D80" s="78"/>
      <c r="E80" s="78"/>
      <c r="F80" s="18"/>
    </row>
    <row r="81" spans="1:6" ht="15" x14ac:dyDescent="0.25">
      <c r="A81" s="72" t="s">
        <v>88</v>
      </c>
      <c r="B81" s="73">
        <v>2.8999999999999998E-3</v>
      </c>
      <c r="C81" s="37"/>
      <c r="D81" s="78"/>
      <c r="E81" s="78"/>
      <c r="F81" s="18"/>
    </row>
    <row r="82" spans="1:6" ht="15" x14ac:dyDescent="0.25">
      <c r="A82" s="74" t="s">
        <v>74</v>
      </c>
      <c r="B82" s="75">
        <f>SUM(B77:B81)</f>
        <v>7.4800000000000005E-2</v>
      </c>
      <c r="C82" s="37"/>
      <c r="D82" s="78"/>
      <c r="E82" s="78"/>
      <c r="F82" s="18"/>
    </row>
    <row r="83" spans="1:6" ht="15" x14ac:dyDescent="0.25">
      <c r="A83" s="72"/>
      <c r="B83" s="73"/>
      <c r="C83" s="37"/>
      <c r="D83" s="78"/>
      <c r="E83" s="78"/>
      <c r="F83" s="18"/>
    </row>
    <row r="84" spans="1:6" ht="15" x14ac:dyDescent="0.25">
      <c r="A84" s="68" t="s">
        <v>89</v>
      </c>
      <c r="B84" s="73"/>
      <c r="C84" s="37"/>
      <c r="D84" s="78"/>
      <c r="E84" s="78"/>
      <c r="F84" s="18"/>
    </row>
    <row r="85" spans="1:6" ht="15" x14ac:dyDescent="0.25">
      <c r="A85" s="72" t="s">
        <v>90</v>
      </c>
      <c r="B85" s="73">
        <v>6.7799999999999999E-2</v>
      </c>
      <c r="C85" s="37"/>
      <c r="D85" s="78"/>
      <c r="E85" s="78"/>
      <c r="F85" s="18"/>
    </row>
    <row r="86" spans="1:6" ht="15" x14ac:dyDescent="0.25">
      <c r="A86" s="72" t="s">
        <v>91</v>
      </c>
      <c r="B86" s="73">
        <v>3.0999999999999999E-3</v>
      </c>
      <c r="C86" s="37"/>
      <c r="D86" s="78"/>
      <c r="E86" s="78"/>
      <c r="F86" s="18"/>
    </row>
    <row r="87" spans="1:6" ht="15" x14ac:dyDescent="0.25">
      <c r="A87" s="74" t="s">
        <v>74</v>
      </c>
      <c r="B87" s="75">
        <f>SUM(B85:B86)</f>
        <v>7.0900000000000005E-2</v>
      </c>
      <c r="C87" s="37"/>
      <c r="D87" s="78"/>
      <c r="E87" s="78"/>
      <c r="F87" s="18"/>
    </row>
    <row r="88" spans="1:6" ht="15" x14ac:dyDescent="0.25">
      <c r="A88" s="32"/>
      <c r="B88" s="32"/>
      <c r="C88" s="32"/>
      <c r="D88" s="78"/>
      <c r="E88" s="78"/>
      <c r="F88" s="32"/>
    </row>
    <row r="89" spans="1:6" ht="15" x14ac:dyDescent="0.25">
      <c r="A89" s="74" t="s">
        <v>92</v>
      </c>
      <c r="B89" s="75">
        <f>B64+B74+B82+B87</f>
        <v>0.69789999999999996</v>
      </c>
      <c r="C89" s="77"/>
      <c r="D89" s="78"/>
      <c r="E89" s="78"/>
      <c r="F89" s="38"/>
    </row>
    <row r="90" spans="1:6" x14ac:dyDescent="0.2">
      <c r="A90" s="32"/>
      <c r="B90" s="32"/>
      <c r="C90" s="32"/>
      <c r="D90" s="33"/>
      <c r="E90" s="33"/>
      <c r="F90" s="32"/>
    </row>
    <row r="91" spans="1:6" x14ac:dyDescent="0.2">
      <c r="A91" s="79" t="s">
        <v>93</v>
      </c>
      <c r="B91" s="32"/>
      <c r="C91" s="32"/>
      <c r="D91" s="33"/>
      <c r="E91" s="33"/>
      <c r="F91" s="32"/>
    </row>
    <row r="92" spans="1:6" ht="13.5" thickBot="1" x14ac:dyDescent="0.25">
      <c r="A92" s="79"/>
      <c r="B92" s="32"/>
      <c r="C92" s="32"/>
      <c r="D92" s="33"/>
      <c r="E92" s="33"/>
      <c r="F92" s="32"/>
    </row>
    <row r="93" spans="1:6" x14ac:dyDescent="0.2">
      <c r="A93" s="80" t="s">
        <v>94</v>
      </c>
      <c r="B93" s="81" t="s">
        <v>95</v>
      </c>
      <c r="C93" s="82">
        <v>0.05</v>
      </c>
      <c r="D93" s="33"/>
      <c r="E93" s="33"/>
      <c r="F93" s="32"/>
    </row>
    <row r="94" spans="1:6" x14ac:dyDescent="0.2">
      <c r="A94" s="83" t="s">
        <v>96</v>
      </c>
      <c r="B94" s="87" t="s">
        <v>97</v>
      </c>
      <c r="C94" s="84">
        <v>2.5000000000000001E-3</v>
      </c>
      <c r="D94" s="85"/>
      <c r="E94" s="33"/>
      <c r="F94" s="32"/>
    </row>
    <row r="95" spans="1:6" x14ac:dyDescent="0.2">
      <c r="A95" s="83" t="s">
        <v>98</v>
      </c>
      <c r="B95" s="87" t="s">
        <v>99</v>
      </c>
      <c r="C95" s="84">
        <v>0.05</v>
      </c>
      <c r="D95" s="33"/>
      <c r="E95" s="33"/>
      <c r="F95" s="32"/>
    </row>
    <row r="96" spans="1:6" x14ac:dyDescent="0.2">
      <c r="A96" s="83" t="s">
        <v>100</v>
      </c>
      <c r="B96" s="87" t="s">
        <v>101</v>
      </c>
      <c r="C96" s="84">
        <v>0.01</v>
      </c>
      <c r="D96" s="33"/>
      <c r="E96" s="33"/>
      <c r="F96" s="32"/>
    </row>
    <row r="97" spans="1:6" x14ac:dyDescent="0.2">
      <c r="A97" s="86" t="s">
        <v>102</v>
      </c>
      <c r="B97" s="331" t="s">
        <v>103</v>
      </c>
      <c r="C97" s="84">
        <v>0.05</v>
      </c>
      <c r="D97" s="33"/>
      <c r="E97" s="33"/>
      <c r="F97" s="32"/>
    </row>
    <row r="98" spans="1:6" ht="13.5" thickBot="1" x14ac:dyDescent="0.25">
      <c r="A98" s="88" t="s">
        <v>104</v>
      </c>
      <c r="B98" s="332"/>
      <c r="C98" s="90">
        <v>3.6499999999999998E-2</v>
      </c>
      <c r="D98" s="33"/>
      <c r="E98" s="33"/>
      <c r="F98" s="32"/>
    </row>
    <row r="99" spans="1:6" x14ac:dyDescent="0.2">
      <c r="A99" s="91" t="s">
        <v>105</v>
      </c>
      <c r="B99" s="92"/>
      <c r="C99" s="93"/>
      <c r="D99" s="33"/>
      <c r="E99" s="33"/>
      <c r="F99" s="32"/>
    </row>
    <row r="100" spans="1:6" ht="13.5" thickBot="1" x14ac:dyDescent="0.25">
      <c r="A100" s="94" t="s">
        <v>106</v>
      </c>
      <c r="B100" s="95"/>
      <c r="C100" s="96"/>
      <c r="D100" s="33"/>
      <c r="E100" s="33"/>
      <c r="F100" s="32"/>
    </row>
    <row r="101" spans="1:6" ht="13.5" thickBot="1" x14ac:dyDescent="0.25">
      <c r="A101" s="97" t="s">
        <v>107</v>
      </c>
      <c r="B101" s="98"/>
      <c r="C101" s="99">
        <f>ROUND((((1+C93+C94)*(1+C95)*(1+C96))/(1-(C97+C98))-1),4)</f>
        <v>0.22189999999999999</v>
      </c>
      <c r="D101" s="33"/>
      <c r="E101" s="33"/>
      <c r="F101" s="32"/>
    </row>
    <row r="102" spans="1:6" x14ac:dyDescent="0.2">
      <c r="A102" s="32"/>
      <c r="B102" s="32"/>
      <c r="C102" s="32"/>
      <c r="D102" s="33"/>
      <c r="E102" s="33"/>
      <c r="F102" s="32"/>
    </row>
    <row r="103" spans="1:6" x14ac:dyDescent="0.2">
      <c r="A103" s="393" t="s">
        <v>186</v>
      </c>
      <c r="B103" s="394"/>
      <c r="C103" s="395"/>
      <c r="D103" s="33"/>
      <c r="E103" s="33"/>
      <c r="F103" s="32"/>
    </row>
    <row r="104" spans="1:6" x14ac:dyDescent="0.2">
      <c r="A104" s="396"/>
      <c r="B104" s="397"/>
      <c r="C104" s="398"/>
      <c r="D104" s="33"/>
      <c r="E104" s="33"/>
      <c r="F104" s="32"/>
    </row>
    <row r="105" spans="1:6" x14ac:dyDescent="0.2">
      <c r="A105" s="396"/>
      <c r="B105" s="397"/>
      <c r="C105" s="398"/>
      <c r="D105" s="33"/>
      <c r="E105" s="33"/>
      <c r="F105" s="32"/>
    </row>
    <row r="106" spans="1:6" x14ac:dyDescent="0.2">
      <c r="A106" s="399"/>
      <c r="B106" s="400"/>
      <c r="C106" s="401"/>
      <c r="D106" s="33"/>
      <c r="E106" s="33"/>
      <c r="F106" s="32"/>
    </row>
    <row r="107" spans="1:6" x14ac:dyDescent="0.2">
      <c r="A107" s="100"/>
      <c r="B107" s="100"/>
      <c r="C107" s="100"/>
      <c r="D107" s="33"/>
      <c r="E107" s="33"/>
      <c r="F107" s="32"/>
    </row>
    <row r="108" spans="1:6" ht="15" x14ac:dyDescent="0.25">
      <c r="A108" s="278"/>
      <c r="B108" s="278"/>
      <c r="C108" s="100"/>
      <c r="D108" s="33"/>
      <c r="E108" s="33"/>
      <c r="F108" s="32"/>
    </row>
  </sheetData>
  <mergeCells count="16">
    <mergeCell ref="B15:C15"/>
    <mergeCell ref="A2:D2"/>
    <mergeCell ref="A4:D9"/>
    <mergeCell ref="B12:C12"/>
    <mergeCell ref="B13:C13"/>
    <mergeCell ref="B14:C14"/>
    <mergeCell ref="A51:C51"/>
    <mergeCell ref="B97:B98"/>
    <mergeCell ref="A103:C106"/>
    <mergeCell ref="A108:B108"/>
    <mergeCell ref="B16:C16"/>
    <mergeCell ref="A18:C18"/>
    <mergeCell ref="A21:C21"/>
    <mergeCell ref="A22:C22"/>
    <mergeCell ref="A30:C30"/>
    <mergeCell ref="A42:C4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6" workbookViewId="0">
      <selection activeCell="A4" sqref="A4:D4"/>
    </sheetView>
  </sheetViews>
  <sheetFormatPr defaultRowHeight="12.75" x14ac:dyDescent="0.2"/>
  <cols>
    <col min="2" max="2" width="12.7109375" customWidth="1"/>
    <col min="3" max="3" width="42.140625" customWidth="1"/>
    <col min="4" max="4" width="44.42578125" customWidth="1"/>
    <col min="5" max="5" width="20" customWidth="1"/>
    <col min="6" max="6" width="29.5703125" customWidth="1"/>
    <col min="7" max="7" width="18.42578125" customWidth="1"/>
    <col min="8" max="8" width="15.28515625" customWidth="1"/>
    <col min="9" max="9" width="17.85546875" customWidth="1"/>
  </cols>
  <sheetData>
    <row r="1" spans="1:9" ht="15" x14ac:dyDescent="0.2">
      <c r="A1" s="403" t="s">
        <v>127</v>
      </c>
      <c r="B1" s="404"/>
      <c r="C1" s="404"/>
      <c r="D1" s="404"/>
      <c r="E1" s="405"/>
    </row>
    <row r="2" spans="1:9" ht="15" x14ac:dyDescent="0.2">
      <c r="A2" s="406" t="s">
        <v>128</v>
      </c>
      <c r="B2" s="407"/>
      <c r="C2" s="407"/>
      <c r="D2" s="407"/>
      <c r="E2" s="408"/>
    </row>
    <row r="3" spans="1:9" ht="28.5" customHeight="1" x14ac:dyDescent="0.2">
      <c r="A3" s="409" t="s">
        <v>171</v>
      </c>
      <c r="B3" s="410"/>
      <c r="C3" s="410"/>
      <c r="D3" s="410"/>
      <c r="E3" s="411"/>
    </row>
    <row r="4" spans="1:9" ht="164.25" customHeight="1" x14ac:dyDescent="0.2">
      <c r="A4" s="412" t="s">
        <v>203</v>
      </c>
      <c r="B4" s="413"/>
      <c r="C4" s="413"/>
      <c r="D4" s="413"/>
      <c r="E4" s="112">
        <v>39789</v>
      </c>
    </row>
    <row r="5" spans="1:9" ht="13.5" thickBot="1" x14ac:dyDescent="0.25">
      <c r="A5" s="113" t="s">
        <v>129</v>
      </c>
      <c r="B5" s="414" t="s">
        <v>130</v>
      </c>
      <c r="C5" s="414"/>
      <c r="D5" s="414"/>
      <c r="E5" s="114" t="s">
        <v>131</v>
      </c>
      <c r="G5" t="s">
        <v>132</v>
      </c>
    </row>
    <row r="6" spans="1:9" x14ac:dyDescent="0.2">
      <c r="A6" s="415" t="s">
        <v>133</v>
      </c>
      <c r="B6" s="416" t="s">
        <v>134</v>
      </c>
      <c r="C6" s="115">
        <v>1</v>
      </c>
      <c r="D6" s="173" t="s">
        <v>135</v>
      </c>
      <c r="E6" s="117">
        <f>E4*G6/12</f>
        <v>663.15</v>
      </c>
      <c r="F6" s="118" t="s">
        <v>136</v>
      </c>
      <c r="G6" s="119">
        <v>0.2</v>
      </c>
      <c r="H6" s="15"/>
      <c r="I6" s="14"/>
    </row>
    <row r="7" spans="1:9" x14ac:dyDescent="0.2">
      <c r="A7" s="415"/>
      <c r="B7" s="416"/>
      <c r="C7" s="115">
        <v>2</v>
      </c>
      <c r="D7" s="173" t="s">
        <v>137</v>
      </c>
      <c r="E7" s="117">
        <f>(G8/12)+(E4*0.03)/12</f>
        <v>108.57833333333332</v>
      </c>
      <c r="F7" s="15" t="s">
        <v>138</v>
      </c>
      <c r="G7" s="120">
        <v>0.03</v>
      </c>
      <c r="H7" s="15"/>
      <c r="I7" s="14"/>
    </row>
    <row r="8" spans="1:9" x14ac:dyDescent="0.2">
      <c r="A8" s="415"/>
      <c r="B8" s="416"/>
      <c r="C8" s="115">
        <v>3</v>
      </c>
      <c r="D8" s="173" t="s">
        <v>139</v>
      </c>
      <c r="E8" s="117">
        <f>G8+(G7*E4/100)</f>
        <v>121.2067</v>
      </c>
      <c r="F8" s="165" t="s">
        <v>140</v>
      </c>
      <c r="G8" s="121">
        <v>109.27</v>
      </c>
      <c r="H8" s="15"/>
      <c r="I8" s="14"/>
    </row>
    <row r="9" spans="1:9" ht="13.5" thickBot="1" x14ac:dyDescent="0.25">
      <c r="A9" s="415"/>
      <c r="B9" s="416"/>
      <c r="C9" s="115">
        <v>4</v>
      </c>
      <c r="D9" s="173" t="s">
        <v>141</v>
      </c>
      <c r="E9" s="117">
        <f>G9/12</f>
        <v>208.33333333333334</v>
      </c>
      <c r="F9" s="15" t="s">
        <v>142</v>
      </c>
      <c r="G9" s="121">
        <v>2500</v>
      </c>
      <c r="H9" s="122"/>
      <c r="I9" s="123"/>
    </row>
    <row r="10" spans="1:9" x14ac:dyDescent="0.2">
      <c r="A10" s="415"/>
      <c r="B10" s="416"/>
      <c r="C10" s="115">
        <v>5</v>
      </c>
      <c r="D10" s="116" t="s">
        <v>143</v>
      </c>
      <c r="E10" s="117">
        <v>0</v>
      </c>
      <c r="F10" s="15" t="s">
        <v>144</v>
      </c>
      <c r="G10" s="121">
        <v>50</v>
      </c>
      <c r="H10" s="124" t="s">
        <v>145</v>
      </c>
      <c r="I10" s="125">
        <f>700000</f>
        <v>700000</v>
      </c>
    </row>
    <row r="11" spans="1:9" x14ac:dyDescent="0.2">
      <c r="A11" s="415"/>
      <c r="B11" s="416"/>
      <c r="C11" s="115" t="s">
        <v>146</v>
      </c>
      <c r="D11" s="116" t="s">
        <v>147</v>
      </c>
      <c r="E11" s="126">
        <f>SUM(E6:E10)</f>
        <v>1101.2683666666665</v>
      </c>
      <c r="F11" s="15" t="s">
        <v>148</v>
      </c>
      <c r="G11" s="121">
        <v>0</v>
      </c>
      <c r="H11" s="127" t="s">
        <v>149</v>
      </c>
      <c r="I11" s="128">
        <f>I10/12</f>
        <v>58333.333333333336</v>
      </c>
    </row>
    <row r="12" spans="1:9" ht="13.5" thickBot="1" x14ac:dyDescent="0.25">
      <c r="A12" s="415"/>
      <c r="B12" s="416" t="s">
        <v>150</v>
      </c>
      <c r="C12" s="115">
        <v>7</v>
      </c>
      <c r="D12" s="173" t="s">
        <v>151</v>
      </c>
      <c r="E12" s="117">
        <f>G12/12</f>
        <v>250</v>
      </c>
      <c r="F12" s="15" t="s">
        <v>152</v>
      </c>
      <c r="G12" s="121">
        <v>3000</v>
      </c>
      <c r="H12" s="129" t="s">
        <v>153</v>
      </c>
      <c r="I12" s="130">
        <f>I11/5</f>
        <v>11666.666666666668</v>
      </c>
    </row>
    <row r="13" spans="1:9" ht="13.5" thickBot="1" x14ac:dyDescent="0.25">
      <c r="A13" s="415"/>
      <c r="B13" s="416"/>
      <c r="C13" s="115">
        <v>8</v>
      </c>
      <c r="D13" s="173" t="s">
        <v>154</v>
      </c>
      <c r="E13" s="117">
        <f>(G13*4)/12</f>
        <v>139.30333333333334</v>
      </c>
      <c r="F13" s="131" t="s">
        <v>155</v>
      </c>
      <c r="G13" s="132">
        <v>417.91</v>
      </c>
      <c r="H13" s="133"/>
      <c r="I13" s="134"/>
    </row>
    <row r="14" spans="1:9" x14ac:dyDescent="0.2">
      <c r="A14" s="415"/>
      <c r="B14" s="416"/>
      <c r="C14" s="115">
        <v>9</v>
      </c>
      <c r="D14" s="173" t="s">
        <v>156</v>
      </c>
      <c r="E14" s="117">
        <f>((H15*G15)/11.8)/12</f>
        <v>533.00847457627117</v>
      </c>
      <c r="F14" s="118" t="s">
        <v>157</v>
      </c>
      <c r="G14" s="135" t="s">
        <v>158</v>
      </c>
      <c r="H14" s="136" t="s">
        <v>191</v>
      </c>
      <c r="I14" s="15" t="s">
        <v>192</v>
      </c>
    </row>
    <row r="15" spans="1:9" ht="13.5" thickBot="1" x14ac:dyDescent="0.25">
      <c r="A15" s="415"/>
      <c r="B15" s="416"/>
      <c r="C15" s="115">
        <v>10</v>
      </c>
      <c r="D15" s="173" t="s">
        <v>159</v>
      </c>
      <c r="E15" s="117">
        <f>G16*4</f>
        <v>280</v>
      </c>
      <c r="F15" s="131">
        <v>12</v>
      </c>
      <c r="G15" s="137">
        <v>5.99</v>
      </c>
      <c r="H15" s="138">
        <f>(70*15)*12</f>
        <v>12600</v>
      </c>
      <c r="I15" s="15">
        <f>H15/12</f>
        <v>1050</v>
      </c>
    </row>
    <row r="16" spans="1:9" x14ac:dyDescent="0.2">
      <c r="A16" s="415"/>
      <c r="B16" s="416"/>
      <c r="C16" s="115">
        <v>11</v>
      </c>
      <c r="D16" s="116" t="s">
        <v>160</v>
      </c>
      <c r="E16" s="117">
        <v>0</v>
      </c>
      <c r="F16" s="118" t="s">
        <v>161</v>
      </c>
      <c r="G16" s="139">
        <v>70</v>
      </c>
      <c r="H16" s="140"/>
      <c r="I16" s="14"/>
    </row>
    <row r="17" spans="1:9" x14ac:dyDescent="0.2">
      <c r="A17" s="415"/>
      <c r="B17" s="416"/>
      <c r="C17" s="115" t="s">
        <v>162</v>
      </c>
      <c r="D17" s="116" t="s">
        <v>163</v>
      </c>
      <c r="E17" s="126">
        <f>SUM(E12:E16)</f>
        <v>1202.3118079096046</v>
      </c>
      <c r="F17" s="15" t="s">
        <v>164</v>
      </c>
      <c r="G17" s="120">
        <v>0</v>
      </c>
      <c r="H17" s="15"/>
      <c r="I17" s="14"/>
    </row>
    <row r="18" spans="1:9" x14ac:dyDescent="0.2">
      <c r="A18" s="415"/>
      <c r="B18" s="115" t="s">
        <v>20</v>
      </c>
      <c r="C18" s="115" t="s">
        <v>165</v>
      </c>
      <c r="D18" s="116" t="s">
        <v>166</v>
      </c>
      <c r="E18" s="126">
        <f>E11+E17</f>
        <v>2303.580174576271</v>
      </c>
      <c r="F18" s="15" t="s">
        <v>167</v>
      </c>
      <c r="G18" s="120">
        <v>0</v>
      </c>
      <c r="H18" s="15"/>
      <c r="I18" s="14"/>
    </row>
    <row r="19" spans="1:9" x14ac:dyDescent="0.2">
      <c r="A19" s="417"/>
      <c r="B19" s="418"/>
      <c r="C19" s="115"/>
      <c r="D19" s="116"/>
      <c r="E19" s="141"/>
      <c r="F19" s="15" t="s">
        <v>168</v>
      </c>
      <c r="G19" s="121">
        <f>E18*G17</f>
        <v>0</v>
      </c>
      <c r="H19" s="15"/>
      <c r="I19" s="14"/>
    </row>
    <row r="20" spans="1:9" x14ac:dyDescent="0.2">
      <c r="A20" s="417"/>
      <c r="B20" s="418"/>
      <c r="C20" s="115"/>
      <c r="D20" s="116"/>
      <c r="E20" s="141"/>
      <c r="F20" s="15" t="s">
        <v>169</v>
      </c>
      <c r="G20" s="121">
        <f>G19+E18</f>
        <v>2303.580174576271</v>
      </c>
      <c r="H20" s="15"/>
      <c r="I20" s="14"/>
    </row>
    <row r="21" spans="1:9" x14ac:dyDescent="0.2">
      <c r="A21" s="417"/>
      <c r="B21" s="418"/>
      <c r="C21" s="115"/>
      <c r="D21" s="116"/>
      <c r="E21" s="141"/>
      <c r="F21" s="15" t="s">
        <v>170</v>
      </c>
      <c r="G21" s="121">
        <f>G20*G18</f>
        <v>0</v>
      </c>
      <c r="H21" s="15"/>
      <c r="I21" s="14"/>
    </row>
    <row r="22" spans="1:9" x14ac:dyDescent="0.2">
      <c r="A22" s="417"/>
      <c r="B22" s="418"/>
      <c r="C22" s="115"/>
      <c r="D22" s="116"/>
      <c r="E22" s="141"/>
      <c r="F22" s="15" t="s">
        <v>74</v>
      </c>
      <c r="G22" s="121">
        <f>G21+G20</f>
        <v>2303.580174576271</v>
      </c>
      <c r="H22" s="15"/>
      <c r="I22" s="14"/>
    </row>
    <row r="23" spans="1:9" x14ac:dyDescent="0.2">
      <c r="A23" s="417"/>
      <c r="B23" s="418"/>
      <c r="C23" s="115"/>
      <c r="D23" s="116"/>
      <c r="E23" s="141"/>
      <c r="F23" s="15"/>
      <c r="G23" s="120"/>
      <c r="H23" s="15"/>
      <c r="I23" s="14"/>
    </row>
    <row r="24" spans="1:9" ht="13.5" thickBot="1" x14ac:dyDescent="0.25">
      <c r="A24" s="417"/>
      <c r="B24" s="418"/>
      <c r="C24" s="115"/>
      <c r="D24" s="173"/>
      <c r="E24" s="142"/>
      <c r="F24" s="131"/>
      <c r="G24" s="132"/>
      <c r="H24" s="15"/>
      <c r="I24" s="14"/>
    </row>
    <row r="25" spans="1:9" ht="13.5" thickBot="1" x14ac:dyDescent="0.25">
      <c r="A25" s="417"/>
      <c r="B25" s="418"/>
      <c r="C25" s="115"/>
      <c r="D25" s="116"/>
      <c r="E25" s="126"/>
      <c r="F25" s="143"/>
      <c r="G25" s="144"/>
      <c r="H25" s="14"/>
      <c r="I25" s="14"/>
    </row>
    <row r="26" spans="1:9" x14ac:dyDescent="0.2">
      <c r="A26" s="417"/>
      <c r="B26" s="418"/>
      <c r="C26" s="115"/>
      <c r="D26" s="116"/>
      <c r="E26" s="117"/>
      <c r="F26" s="118"/>
      <c r="G26" s="136"/>
      <c r="H26" s="15"/>
      <c r="I26" s="14"/>
    </row>
    <row r="27" spans="1:9" x14ac:dyDescent="0.2">
      <c r="A27" s="417"/>
      <c r="B27" s="418"/>
      <c r="C27" s="115"/>
      <c r="D27" s="116"/>
      <c r="E27" s="117"/>
      <c r="F27" s="15"/>
      <c r="G27" s="120"/>
      <c r="H27" s="15"/>
      <c r="I27" s="14"/>
    </row>
    <row r="28" spans="1:9" x14ac:dyDescent="0.2">
      <c r="A28" s="417"/>
      <c r="B28" s="418"/>
      <c r="C28" s="115"/>
      <c r="D28" s="116"/>
      <c r="E28" s="117"/>
      <c r="F28" s="15"/>
      <c r="G28" s="120"/>
      <c r="H28" s="15"/>
      <c r="I28" s="14"/>
    </row>
    <row r="29" spans="1:9" x14ac:dyDescent="0.2">
      <c r="A29" s="417"/>
      <c r="B29" s="418"/>
      <c r="C29" s="115"/>
      <c r="D29" s="116"/>
      <c r="E29" s="126"/>
      <c r="F29" s="15"/>
      <c r="G29" s="120"/>
      <c r="H29" s="15"/>
      <c r="I29" s="14"/>
    </row>
    <row r="30" spans="1:9" x14ac:dyDescent="0.2">
      <c r="A30" s="417"/>
      <c r="B30" s="418"/>
      <c r="C30" s="115"/>
      <c r="D30" s="116"/>
      <c r="E30" s="142"/>
      <c r="F30" s="15"/>
      <c r="G30" s="121"/>
      <c r="H30" s="15"/>
      <c r="I30" s="14"/>
    </row>
    <row r="31" spans="1:9" x14ac:dyDescent="0.2">
      <c r="A31" s="417"/>
      <c r="B31" s="418"/>
      <c r="C31" s="115"/>
      <c r="D31" s="116"/>
      <c r="E31" s="126"/>
      <c r="F31" s="15"/>
      <c r="G31" s="121"/>
      <c r="H31" s="15"/>
      <c r="I31" s="14"/>
    </row>
    <row r="32" spans="1:9" ht="13.5" thickBot="1" x14ac:dyDescent="0.25">
      <c r="A32" s="419"/>
      <c r="B32" s="420"/>
      <c r="C32" s="420"/>
      <c r="D32" s="420"/>
      <c r="E32" s="117"/>
      <c r="F32" s="131"/>
      <c r="G32" s="132"/>
      <c r="H32" s="15"/>
      <c r="I32" s="14"/>
    </row>
    <row r="33" spans="1:9" ht="15" x14ac:dyDescent="0.25">
      <c r="A33" s="145"/>
      <c r="B33" s="146"/>
      <c r="C33" s="146"/>
      <c r="D33" s="146"/>
      <c r="E33" s="147"/>
      <c r="F33" s="140"/>
      <c r="G33" s="148"/>
      <c r="H33" s="14"/>
      <c r="I33" s="149"/>
    </row>
    <row r="34" spans="1:9" ht="15" x14ac:dyDescent="0.25">
      <c r="A34" s="421"/>
      <c r="B34" s="422"/>
      <c r="C34" s="422"/>
      <c r="D34" s="422"/>
      <c r="E34" s="147"/>
    </row>
    <row r="35" spans="1:9" ht="15" x14ac:dyDescent="0.25">
      <c r="A35" s="150"/>
      <c r="B35" s="413"/>
      <c r="C35" s="413"/>
      <c r="D35" s="151"/>
      <c r="E35" s="147"/>
    </row>
    <row r="36" spans="1:9" ht="15" x14ac:dyDescent="0.25">
      <c r="A36" s="150"/>
      <c r="B36" s="402"/>
      <c r="C36" s="402"/>
      <c r="D36" s="152"/>
      <c r="E36" s="147"/>
    </row>
    <row r="37" spans="1:9" ht="15" x14ac:dyDescent="0.25">
      <c r="A37" s="150"/>
      <c r="B37" s="402"/>
      <c r="C37" s="402"/>
      <c r="D37" s="152"/>
      <c r="E37" s="147"/>
    </row>
    <row r="38" spans="1:9" ht="47.25" customHeight="1" x14ac:dyDescent="0.25">
      <c r="A38" s="150"/>
      <c r="B38" s="424"/>
      <c r="C38" s="425"/>
      <c r="D38" s="152"/>
      <c r="E38" s="147"/>
    </row>
    <row r="39" spans="1:9" ht="15.75" thickBot="1" x14ac:dyDescent="0.3">
      <c r="A39" s="153"/>
      <c r="B39" s="426"/>
      <c r="C39" s="427"/>
      <c r="D39" s="154"/>
      <c r="E39" s="155"/>
    </row>
    <row r="40" spans="1:9" ht="15" x14ac:dyDescent="0.25">
      <c r="A40" s="156"/>
      <c r="B40" s="157"/>
      <c r="C40" s="157"/>
      <c r="D40" s="158"/>
      <c r="E40" s="159"/>
    </row>
    <row r="41" spans="1:9" ht="15" x14ac:dyDescent="0.25">
      <c r="A41" s="423"/>
      <c r="B41" s="423"/>
      <c r="C41" s="423"/>
      <c r="D41" s="423"/>
      <c r="E41" s="423"/>
    </row>
    <row r="42" spans="1:9" ht="15" x14ac:dyDescent="0.25">
      <c r="A42" s="160"/>
      <c r="B42" s="161"/>
      <c r="C42" s="161"/>
      <c r="D42" s="161"/>
      <c r="E42" s="159"/>
    </row>
    <row r="43" spans="1:9" ht="15" x14ac:dyDescent="0.25">
      <c r="A43" s="423"/>
      <c r="B43" s="423"/>
      <c r="C43" s="423"/>
      <c r="D43" s="423"/>
      <c r="E43" s="159"/>
    </row>
    <row r="44" spans="1:9" ht="15" x14ac:dyDescent="0.25">
      <c r="A44" s="423"/>
      <c r="B44" s="423"/>
      <c r="C44" s="423"/>
      <c r="D44" s="423"/>
      <c r="E44" s="159"/>
    </row>
    <row r="45" spans="1:9" ht="15" x14ac:dyDescent="0.25">
      <c r="A45" s="423"/>
      <c r="B45" s="423"/>
      <c r="C45" s="423"/>
      <c r="D45" s="423"/>
      <c r="E45" s="159"/>
    </row>
    <row r="46" spans="1:9" ht="15" x14ac:dyDescent="0.25">
      <c r="A46" s="423"/>
      <c r="B46" s="423"/>
      <c r="C46" s="423"/>
      <c r="D46" s="423"/>
      <c r="E46" s="159"/>
    </row>
    <row r="47" spans="1:9" ht="15" x14ac:dyDescent="0.25">
      <c r="A47" s="423"/>
      <c r="B47" s="423"/>
      <c r="C47" s="423"/>
      <c r="D47" s="423"/>
      <c r="E47" s="423"/>
    </row>
    <row r="48" spans="1:9" ht="15" x14ac:dyDescent="0.25">
      <c r="A48" s="423"/>
      <c r="B48" s="423"/>
      <c r="C48" s="423"/>
      <c r="D48" s="423"/>
      <c r="E48" s="423"/>
    </row>
    <row r="49" spans="1:5" ht="15" x14ac:dyDescent="0.25">
      <c r="A49" s="162"/>
      <c r="B49" s="162"/>
      <c r="C49" s="162"/>
      <c r="D49" s="162"/>
      <c r="E49" s="162"/>
    </row>
    <row r="50" spans="1:5" ht="15" x14ac:dyDescent="0.25">
      <c r="A50" s="162"/>
      <c r="B50" s="162"/>
      <c r="C50" s="162"/>
      <c r="D50" s="163"/>
      <c r="E50" s="162"/>
    </row>
    <row r="51" spans="1:5" ht="15" x14ac:dyDescent="0.25">
      <c r="A51" s="162"/>
      <c r="B51" s="162"/>
      <c r="C51" s="162"/>
      <c r="D51" s="163"/>
      <c r="E51" s="162"/>
    </row>
    <row r="52" spans="1:5" ht="15" x14ac:dyDescent="0.25">
      <c r="A52" s="162"/>
      <c r="B52" s="162"/>
      <c r="C52" s="162"/>
      <c r="D52" s="163"/>
      <c r="E52" s="162"/>
    </row>
    <row r="53" spans="1:5" ht="15" x14ac:dyDescent="0.25">
      <c r="A53" s="162"/>
      <c r="B53" s="162"/>
      <c r="C53" s="162"/>
      <c r="D53" s="162"/>
      <c r="E53" s="162"/>
    </row>
    <row r="54" spans="1:5" ht="15" x14ac:dyDescent="0.25">
      <c r="A54" s="162"/>
      <c r="B54" s="162"/>
      <c r="C54" s="164"/>
      <c r="D54" s="162"/>
      <c r="E54" s="162"/>
    </row>
    <row r="55" spans="1:5" ht="15" x14ac:dyDescent="0.25">
      <c r="A55" s="162"/>
      <c r="B55" s="159"/>
      <c r="C55" s="162"/>
      <c r="D55" s="162"/>
      <c r="E55" s="162"/>
    </row>
    <row r="56" spans="1:5" ht="15" x14ac:dyDescent="0.25">
      <c r="A56" s="162"/>
      <c r="B56" s="163"/>
      <c r="C56" s="162"/>
      <c r="D56" s="162"/>
      <c r="E56" s="162"/>
    </row>
    <row r="57" spans="1:5" ht="15" x14ac:dyDescent="0.25">
      <c r="A57" s="162"/>
      <c r="B57" s="163"/>
      <c r="C57" s="162"/>
      <c r="D57" s="162"/>
      <c r="E57" s="162"/>
    </row>
  </sheetData>
  <mergeCells count="24">
    <mergeCell ref="A45:D45"/>
    <mergeCell ref="A46:D46"/>
    <mergeCell ref="A47:E47"/>
    <mergeCell ref="A48:E48"/>
    <mergeCell ref="B37:C37"/>
    <mergeCell ref="B38:C38"/>
    <mergeCell ref="B39:C39"/>
    <mergeCell ref="A41:E41"/>
    <mergeCell ref="A43:D43"/>
    <mergeCell ref="A44:D44"/>
    <mergeCell ref="B36:C36"/>
    <mergeCell ref="A1:E1"/>
    <mergeCell ref="A2:E2"/>
    <mergeCell ref="A3:E3"/>
    <mergeCell ref="A4:D4"/>
    <mergeCell ref="B5:D5"/>
    <mergeCell ref="A6:A18"/>
    <mergeCell ref="B6:B11"/>
    <mergeCell ref="B12:B17"/>
    <mergeCell ref="A19:B24"/>
    <mergeCell ref="A25:B31"/>
    <mergeCell ref="A32:D32"/>
    <mergeCell ref="A34:D34"/>
    <mergeCell ref="B35:C3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topLeftCell="A76" workbookViewId="0">
      <selection activeCell="B3" sqref="B3:B7"/>
    </sheetView>
  </sheetViews>
  <sheetFormatPr defaultRowHeight="12.75" x14ac:dyDescent="0.2"/>
  <cols>
    <col min="2" max="2" width="17.7109375" customWidth="1"/>
    <col min="3" max="4" width="13.42578125" customWidth="1"/>
    <col min="5" max="5" width="14.5703125" customWidth="1"/>
    <col min="6" max="6" width="16.140625" customWidth="1"/>
    <col min="7" max="7" width="12.28515625" customWidth="1"/>
    <col min="8" max="8" width="16.7109375" customWidth="1"/>
  </cols>
  <sheetData>
    <row r="1" spans="1:9" ht="18" x14ac:dyDescent="0.25">
      <c r="A1" s="428" t="s">
        <v>204</v>
      </c>
      <c r="B1" s="428"/>
      <c r="C1" s="428"/>
      <c r="D1" s="428"/>
      <c r="E1" s="428"/>
      <c r="F1" s="428"/>
      <c r="G1" s="428"/>
      <c r="H1" s="428"/>
      <c r="I1" s="1"/>
    </row>
    <row r="2" spans="1:9" ht="38.25" x14ac:dyDescent="0.2">
      <c r="A2" s="182" t="s">
        <v>205</v>
      </c>
      <c r="B2" s="182" t="s">
        <v>206</v>
      </c>
      <c r="C2" s="182" t="s">
        <v>207</v>
      </c>
      <c r="D2" s="183" t="s">
        <v>216</v>
      </c>
      <c r="E2" s="182" t="s">
        <v>208</v>
      </c>
      <c r="F2" s="183" t="s">
        <v>209</v>
      </c>
      <c r="G2" s="183" t="s">
        <v>214</v>
      </c>
      <c r="H2" s="183" t="s">
        <v>213</v>
      </c>
    </row>
    <row r="3" spans="1:9" ht="102" x14ac:dyDescent="0.2">
      <c r="A3" s="14">
        <v>1</v>
      </c>
      <c r="B3" s="177" t="s">
        <v>210</v>
      </c>
      <c r="C3" s="178">
        <v>8790.2900000000009</v>
      </c>
      <c r="D3" s="179">
        <v>10</v>
      </c>
      <c r="E3" s="178">
        <f>C3*D3/100</f>
        <v>879.02900000000011</v>
      </c>
      <c r="F3" s="178">
        <f>(C3-E3)/G3</f>
        <v>791.12610000000006</v>
      </c>
      <c r="G3" s="14">
        <v>10</v>
      </c>
      <c r="H3" s="178">
        <f>F3/12</f>
        <v>65.927175000000005</v>
      </c>
    </row>
    <row r="4" spans="1:9" ht="25.5" x14ac:dyDescent="0.2">
      <c r="A4" s="14">
        <v>1</v>
      </c>
      <c r="B4" s="177" t="s">
        <v>215</v>
      </c>
      <c r="C4" s="178">
        <v>955.35</v>
      </c>
      <c r="D4" s="179">
        <v>20</v>
      </c>
      <c r="E4" s="178">
        <f>C4*D4/100</f>
        <v>191.07</v>
      </c>
      <c r="F4" s="178">
        <f>(C4-E4)/G4</f>
        <v>50.951999999999998</v>
      </c>
      <c r="G4" s="14">
        <v>15</v>
      </c>
      <c r="H4" s="178">
        <f>F4/12</f>
        <v>4.2459999999999996</v>
      </c>
    </row>
    <row r="5" spans="1:9" x14ac:dyDescent="0.2">
      <c r="A5" s="14">
        <v>1</v>
      </c>
      <c r="B5" s="180" t="s">
        <v>217</v>
      </c>
      <c r="C5" s="178">
        <v>1014.05</v>
      </c>
      <c r="D5" s="14">
        <v>20</v>
      </c>
      <c r="E5" s="178">
        <f>C5*D5/100</f>
        <v>202.81</v>
      </c>
      <c r="F5" s="178">
        <f>(C5-E5)/G5</f>
        <v>54.082666666666668</v>
      </c>
      <c r="G5" s="14">
        <v>15</v>
      </c>
      <c r="H5" s="178">
        <f>F5/12</f>
        <v>4.5068888888888887</v>
      </c>
    </row>
    <row r="6" spans="1:9" ht="38.25" x14ac:dyDescent="0.2">
      <c r="A6" s="14">
        <v>1</v>
      </c>
      <c r="B6" s="181" t="s">
        <v>218</v>
      </c>
      <c r="C6" s="178">
        <v>799.25</v>
      </c>
      <c r="D6" s="14">
        <v>10</v>
      </c>
      <c r="E6" s="178">
        <f>C6*D6/100</f>
        <v>79.924999999999997</v>
      </c>
      <c r="F6" s="178">
        <f>(C6-E6)/G6</f>
        <v>71.932500000000005</v>
      </c>
      <c r="G6" s="14">
        <v>10</v>
      </c>
      <c r="H6" s="178">
        <f>F6/12</f>
        <v>5.9943750000000007</v>
      </c>
    </row>
    <row r="7" spans="1:9" ht="38.25" x14ac:dyDescent="0.2">
      <c r="A7" s="14">
        <v>1</v>
      </c>
      <c r="B7" s="181" t="s">
        <v>219</v>
      </c>
      <c r="C7" s="178">
        <v>540.41</v>
      </c>
      <c r="D7" s="14">
        <v>20</v>
      </c>
      <c r="E7" s="178">
        <f>C7*D7/100</f>
        <v>108.08199999999999</v>
      </c>
      <c r="F7" s="178">
        <f>(C7-E7)/G7</f>
        <v>28.821866666666665</v>
      </c>
      <c r="G7" s="14">
        <v>15</v>
      </c>
      <c r="H7" s="178">
        <f>F7/12</f>
        <v>2.4018222222222221</v>
      </c>
    </row>
    <row r="8" spans="1:9" x14ac:dyDescent="0.2">
      <c r="A8" s="14"/>
      <c r="B8" s="14"/>
      <c r="C8" s="14"/>
      <c r="D8" s="14"/>
      <c r="E8" s="14"/>
      <c r="F8" s="14"/>
      <c r="G8" s="182" t="s">
        <v>220</v>
      </c>
      <c r="H8" s="184">
        <f>SUM(H3:H7)</f>
        <v>83.076261111111123</v>
      </c>
    </row>
    <row r="168" spans="23:23" x14ac:dyDescent="0.2">
      <c r="W168">
        <v>720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PLANILHA DE CUSTO</vt:lpstr>
      <vt:lpstr>RESPONSÁVEL TÉCNICO</vt:lpstr>
      <vt:lpstr>AUXILIAR </vt:lpstr>
      <vt:lpstr>TRATADOR</vt:lpstr>
      <vt:lpstr>ZELADOR</vt:lpstr>
      <vt:lpstr>MOTORISTA</vt:lpstr>
      <vt:lpstr>VETERINÁRIO</vt:lpstr>
      <vt:lpstr>CARRO</vt:lpstr>
      <vt:lpstr>EQUIPAMENTOS</vt:lpstr>
      <vt:lpstr>ALIMENTOS, MEDICAMENTOS E MAT.</vt:lpstr>
      <vt:lpstr>LIMPEZA</vt:lpstr>
      <vt:lpstr>notas explicativas</vt:lpstr>
      <vt:lpstr>'PLANILHA DE CUSTO'!Area_de_impressao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Lerch</dc:creator>
  <cp:lastModifiedBy>Renata Tais Gureeriro Viera Fernandes</cp:lastModifiedBy>
  <cp:lastPrinted>2026-01-19T12:25:46Z</cp:lastPrinted>
  <dcterms:created xsi:type="dcterms:W3CDTF">2015-04-17T19:02:19Z</dcterms:created>
  <dcterms:modified xsi:type="dcterms:W3CDTF">2026-01-19T12:26:15Z</dcterms:modified>
</cp:coreProperties>
</file>