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ARCELA\Planilhas de custo\LIMPEZA URBANA\"/>
    </mc:Choice>
  </mc:AlternateContent>
  <xr:revisionPtr revIDLastSave="0" documentId="13_ncr:1_{0732A9CF-CFDB-44D1-A2DE-E03DD13D8658}" xr6:coauthVersionLast="47" xr6:coauthVersionMax="47" xr10:uidLastSave="{00000000-0000-0000-0000-000000000000}"/>
  <bookViews>
    <workbookView xWindow="-120" yWindow="-120" windowWidth="29040" windowHeight="15840" tabRatio="802" xr2:uid="{00000000-000D-0000-FFFF-FFFF00000000}"/>
  </bookViews>
  <sheets>
    <sheet name="1. Limpeza Urbana" sheetId="2" r:id="rId1"/>
    <sheet name="2. Encargos Sociais" sheetId="9" r:id="rId2"/>
    <sheet name="3. BDI" sheetId="4" r:id="rId3"/>
    <sheet name="4. Referências" sheetId="10" r:id="rId4"/>
  </sheets>
  <definedNames>
    <definedName name="AbaDeprec">#REF!</definedName>
    <definedName name="AbaRemun">#REF!</definedName>
    <definedName name="_xlnm.Print_Area" localSheetId="1">'2. Encargos Sociais'!$A$36:$C$36</definedName>
  </definedNames>
  <calcPr calcId="191029"/>
</workbook>
</file>

<file path=xl/calcChain.xml><?xml version="1.0" encoding="utf-8"?>
<calcChain xmlns="http://schemas.openxmlformats.org/spreadsheetml/2006/main">
  <c r="E95" i="2" l="1"/>
  <c r="E90" i="2"/>
  <c r="E89" i="2"/>
  <c r="E88" i="2"/>
  <c r="E68" i="2"/>
  <c r="E67" i="2"/>
  <c r="E59" i="2"/>
  <c r="E58" i="2"/>
  <c r="E40" i="2"/>
  <c r="E32" i="2"/>
  <c r="E31" i="2"/>
  <c r="B38" i="9"/>
  <c r="B36" i="9"/>
  <c r="B31" i="9"/>
  <c r="B23" i="9"/>
  <c r="B13" i="9"/>
  <c r="E91" i="2" l="1"/>
  <c r="E33" i="2"/>
  <c r="E69" i="2"/>
  <c r="E60" i="2"/>
  <c r="C78" i="2" l="1"/>
  <c r="E78" i="2" s="1"/>
  <c r="C80" i="2"/>
  <c r="E80" i="2" s="1"/>
  <c r="C79" i="2"/>
  <c r="E79" i="2" s="1"/>
  <c r="C77" i="2"/>
  <c r="E77" i="2" s="1"/>
  <c r="C76" i="2"/>
  <c r="E76" i="2" s="1"/>
  <c r="E81" i="2" s="1"/>
  <c r="E82" i="2" l="1"/>
  <c r="D12" i="2" s="1"/>
  <c r="D208" i="2" l="1"/>
  <c r="D205" i="2"/>
  <c r="E205" i="2" s="1"/>
  <c r="D204" i="2"/>
  <c r="E204" i="2" s="1"/>
  <c r="D203" i="2"/>
  <c r="E203" i="2" s="1"/>
  <c r="D202" i="2"/>
  <c r="E202" i="2" s="1"/>
  <c r="D201" i="2"/>
  <c r="E201" i="2" s="1"/>
  <c r="D190" i="2"/>
  <c r="E190" i="2" s="1"/>
  <c r="B171" i="2"/>
  <c r="D171" i="2" s="1"/>
  <c r="E171" i="2" s="1"/>
  <c r="B170" i="2"/>
  <c r="D170" i="2" s="1"/>
  <c r="E170" i="2" s="1"/>
  <c r="A20" i="2"/>
  <c r="A21" i="2"/>
  <c r="D187" i="2"/>
  <c r="E187" i="2" s="1"/>
  <c r="D186" i="2"/>
  <c r="E186" i="2" s="1"/>
  <c r="D185" i="2"/>
  <c r="E185" i="2" s="1"/>
  <c r="D184" i="2"/>
  <c r="E184" i="2" s="1"/>
  <c r="D183" i="2"/>
  <c r="E183" i="2" s="1"/>
  <c r="D180" i="2"/>
  <c r="E180" i="2" s="1"/>
  <c r="D179" i="2"/>
  <c r="E179" i="2" s="1"/>
  <c r="D178" i="2"/>
  <c r="E178" i="2" s="1"/>
  <c r="D177" i="2"/>
  <c r="E177" i="2" s="1"/>
  <c r="D176" i="2"/>
  <c r="E176" i="2" s="1"/>
  <c r="D194" i="2"/>
  <c r="E194" i="2" s="1"/>
  <c r="D193" i="2"/>
  <c r="E193" i="2" s="1"/>
  <c r="D192" i="2"/>
  <c r="E192" i="2" s="1"/>
  <c r="D191" i="2"/>
  <c r="E191" i="2" s="1"/>
  <c r="D13" i="2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E159" i="2" s="1"/>
  <c r="D160" i="2"/>
  <c r="E160" i="2" s="1"/>
  <c r="D161" i="2"/>
  <c r="E161" i="2" s="1"/>
  <c r="D162" i="2"/>
  <c r="E162" i="2" s="1"/>
  <c r="D163" i="2"/>
  <c r="E163" i="2" s="1"/>
  <c r="D164" i="2"/>
  <c r="E164" i="2" s="1"/>
  <c r="D165" i="2"/>
  <c r="E165" i="2" s="1"/>
  <c r="D166" i="2"/>
  <c r="E166" i="2" s="1"/>
  <c r="D167" i="2"/>
  <c r="E167" i="2" s="1"/>
  <c r="D168" i="2"/>
  <c r="E168" i="2" s="1"/>
  <c r="D169" i="2"/>
  <c r="E169" i="2" s="1"/>
  <c r="D153" i="2"/>
  <c r="E153" i="2" s="1"/>
  <c r="C150" i="2"/>
  <c r="E181" i="2" l="1"/>
  <c r="E188" i="2"/>
  <c r="E206" i="2"/>
  <c r="E195" i="2"/>
  <c r="C145" i="2"/>
  <c r="C140" i="2"/>
  <c r="E127" i="2"/>
  <c r="E126" i="2"/>
  <c r="E125" i="2"/>
  <c r="E124" i="2"/>
  <c r="E123" i="2"/>
  <c r="E122" i="2"/>
  <c r="E121" i="2"/>
  <c r="E120" i="2"/>
  <c r="E119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D14" i="2"/>
  <c r="E197" i="2" l="1"/>
  <c r="D20" i="2" s="1"/>
  <c r="D128" i="2"/>
  <c r="E128" i="2" s="1"/>
  <c r="D115" i="2"/>
  <c r="E115" i="2" s="1"/>
  <c r="A22" i="2"/>
  <c r="A19" i="2"/>
  <c r="A17" i="2"/>
  <c r="D21" i="2" l="1"/>
  <c r="A11" i="2"/>
  <c r="D70" i="2" l="1"/>
  <c r="E70" i="2" s="1"/>
  <c r="E71" i="2" s="1"/>
  <c r="D17" i="2"/>
  <c r="D72" i="2" l="1"/>
  <c r="E72" i="2" s="1"/>
  <c r="D11" i="2" s="1"/>
  <c r="E147" i="2"/>
  <c r="D149" i="2" s="1"/>
  <c r="E149" i="2" s="1"/>
  <c r="D150" i="2" s="1"/>
  <c r="A10" i="2"/>
  <c r="A9" i="2"/>
  <c r="E150" i="2" l="1"/>
  <c r="E49" i="2"/>
  <c r="A18" i="2"/>
  <c r="E50" i="2" l="1"/>
  <c r="E51" i="2" s="1"/>
  <c r="E142" i="2"/>
  <c r="D144" i="2" s="1"/>
  <c r="E136" i="2"/>
  <c r="D139" i="2" s="1"/>
  <c r="E144" i="2" l="1"/>
  <c r="D145" i="2" s="1"/>
  <c r="E145" i="2" s="1"/>
  <c r="E208" i="2"/>
  <c r="E139" i="2"/>
  <c r="D140" i="2" s="1"/>
  <c r="E140" i="2" s="1"/>
  <c r="D61" i="2"/>
  <c r="E61" i="2" s="1"/>
  <c r="D52" i="2"/>
  <c r="E52" i="2" s="1"/>
  <c r="E172" i="2" l="1"/>
  <c r="E210" i="2" s="1"/>
  <c r="D22" i="2"/>
  <c r="D18" i="2" l="1"/>
  <c r="D19" i="2"/>
  <c r="F4" i="4"/>
  <c r="A14" i="2" l="1"/>
  <c r="A12" i="2" l="1"/>
  <c r="D41" i="2" l="1"/>
  <c r="E41" i="2" l="1"/>
  <c r="E42" i="2" s="1"/>
  <c r="D43" i="2" s="1"/>
  <c r="E43" i="2" s="1"/>
  <c r="E44" i="2" s="1"/>
  <c r="D45" i="2" s="1"/>
  <c r="E45" i="2" l="1"/>
  <c r="D8" i="2" s="1"/>
  <c r="A16" i="2"/>
  <c r="A23" i="2"/>
  <c r="D34" i="2" l="1"/>
  <c r="A15" i="2"/>
  <c r="A6" i="2"/>
  <c r="E34" i="2" l="1"/>
  <c r="E35" i="2" s="1"/>
  <c r="A13" i="2"/>
  <c r="A8" i="2"/>
  <c r="A7" i="2"/>
  <c r="E4" i="4"/>
  <c r="C11" i="4" l="1"/>
  <c r="D16" i="2" l="1"/>
  <c r="E130" i="2"/>
  <c r="D15" i="2" l="1"/>
  <c r="E62" i="2"/>
  <c r="E53" i="2"/>
  <c r="D54" i="2" s="1"/>
  <c r="E54" i="2" s="1"/>
  <c r="D9" i="2" s="1"/>
  <c r="D63" i="2" l="1"/>
  <c r="E63" i="2" s="1"/>
  <c r="D36" i="2"/>
  <c r="E36" i="2" s="1"/>
  <c r="E97" i="2" s="1"/>
  <c r="E212" i="2" l="1"/>
  <c r="D10" i="2"/>
  <c r="D216" i="2" l="1"/>
  <c r="E216" i="2" s="1"/>
  <c r="D7" i="2"/>
  <c r="D6" i="2" l="1"/>
  <c r="E218" i="2" l="1"/>
  <c r="E220" i="2" s="1"/>
  <c r="E20" i="2" l="1"/>
  <c r="D23" i="2"/>
  <c r="D24" i="2" s="1"/>
  <c r="E21" i="2" l="1"/>
  <c r="E22" i="2"/>
  <c r="E6" i="2"/>
  <c r="E17" i="2"/>
  <c r="E7" i="2"/>
  <c r="E13" i="2"/>
  <c r="E15" i="2"/>
  <c r="E9" i="2"/>
  <c r="E11" i="2"/>
  <c r="E18" i="2"/>
  <c r="E10" i="2"/>
  <c r="E12" i="2"/>
  <c r="E14" i="2"/>
  <c r="E16" i="2"/>
  <c r="E8" i="2"/>
  <c r="E19" i="2"/>
  <c r="E24" i="2"/>
  <c r="E23" i="2"/>
</calcChain>
</file>

<file path=xl/sharedStrings.xml><?xml version="1.0" encoding="utf-8"?>
<sst xmlns="http://schemas.openxmlformats.org/spreadsheetml/2006/main" count="499" uniqueCount="264">
  <si>
    <t>Adicional de Insalubridade</t>
  </si>
  <si>
    <t>%</t>
  </si>
  <si>
    <t>Soma</t>
  </si>
  <si>
    <t>Encargos Sociais</t>
  </si>
  <si>
    <t>Total do Efetivo</t>
  </si>
  <si>
    <t>homem</t>
  </si>
  <si>
    <t>mês</t>
  </si>
  <si>
    <t>unidade</t>
  </si>
  <si>
    <t>Calça</t>
  </si>
  <si>
    <t>Benefícios e despesas indiretas</t>
  </si>
  <si>
    <t>Custo (R$/mês)</t>
  </si>
  <si>
    <t>Quantidade</t>
  </si>
  <si>
    <t>INSS</t>
  </si>
  <si>
    <t>FGTS</t>
  </si>
  <si>
    <t>Planilha de Composição de Custos</t>
  </si>
  <si>
    <t>2. Uniformes e Equipamentos de Proteção Individual</t>
  </si>
  <si>
    <t>1. Mão-de-obra</t>
  </si>
  <si>
    <t>par</t>
  </si>
  <si>
    <t>Discriminação</t>
  </si>
  <si>
    <t>Unidade</t>
  </si>
  <si>
    <t>Subtotal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</si>
  <si>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</si>
  <si>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</si>
  <si>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</si>
  <si>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</si>
  <si>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</si>
  <si>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</si>
  <si>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</si>
  <si>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</si>
  <si>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</si>
  <si>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</si>
  <si>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</si>
  <si>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</si>
  <si>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</si>
  <si>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</si>
  <si>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Valor</t>
  </si>
  <si>
    <t>SESI</t>
  </si>
  <si>
    <t>SENAI</t>
  </si>
  <si>
    <t>INCRA</t>
  </si>
  <si>
    <t>SEBRAE</t>
  </si>
  <si>
    <t xml:space="preserve">Férias indenizadas </t>
  </si>
  <si>
    <t>DU</t>
  </si>
  <si>
    <t>Descrição do Item</t>
  </si>
  <si>
    <t>Piso da categoria</t>
  </si>
  <si>
    <t>Custo unitário</t>
  </si>
  <si>
    <t>Durabilidade (meses)</t>
  </si>
  <si>
    <t>PLANILHA DE CUSTOS</t>
  </si>
  <si>
    <t>1. Custo Mensal com Mão-de-obra</t>
  </si>
  <si>
    <t>2. Custo Mensal com Uniformes e EPIs</t>
  </si>
  <si>
    <t>PREÇO MENSAL TOTAL</t>
  </si>
  <si>
    <t>AC = taxa representativa das despesas de rateio da administração central</t>
  </si>
  <si>
    <t xml:space="preserve">R = taxa representativa de riscos </t>
  </si>
  <si>
    <t xml:space="preserve">S = taxa representativa de seguros </t>
  </si>
  <si>
    <t xml:space="preserve">G = taxa representativa de garantias </t>
  </si>
  <si>
    <t xml:space="preserve">DF = taxa representativa das despesas financeiras </t>
  </si>
  <si>
    <t xml:space="preserve">L = taxa representativa do lucro ou remuneração </t>
  </si>
  <si>
    <t xml:space="preserve">T = taxa representativa da incidência de tributos </t>
  </si>
  <si>
    <t>PREÇO TOTAL MENSAL</t>
  </si>
  <si>
    <t>Total por Assistente Administrativo</t>
  </si>
  <si>
    <t>SELIC</t>
  </si>
  <si>
    <t>Total por Funcionário</t>
  </si>
  <si>
    <t>Boné</t>
  </si>
  <si>
    <t>Protetor solar FPS 30</t>
  </si>
  <si>
    <t>frasco 120g</t>
  </si>
  <si>
    <t xml:space="preserve">Quantidade de trabalhadores </t>
  </si>
  <si>
    <t>Colete reflexivo</t>
  </si>
  <si>
    <t>Luva de proteção</t>
  </si>
  <si>
    <t>CUSTO TOTAL MENSAL COM DESPESAS OPERACIONAIS (R$/mês)</t>
  </si>
  <si>
    <t>Total por funcionário</t>
  </si>
  <si>
    <t>4. Benefícios e Despesas Indiretas</t>
  </si>
  <si>
    <t>4. Custo Mensal Com BDI</t>
  </si>
  <si>
    <t xml:space="preserve">Camisa manga curta </t>
  </si>
  <si>
    <t xml:space="preserve">Camisa manga longa </t>
  </si>
  <si>
    <t>Protetor facial</t>
  </si>
  <si>
    <t xml:space="preserve">3.1. Depreciação/manutenção/ferramentas </t>
  </si>
  <si>
    <t>Vida útil</t>
  </si>
  <si>
    <t>anos</t>
  </si>
  <si>
    <t>Idade do equipamento</t>
  </si>
  <si>
    <t>Depreciação</t>
  </si>
  <si>
    <t>Depreciação mensal</t>
  </si>
  <si>
    <t xml:space="preserve">ano </t>
  </si>
  <si>
    <t>Jaqueta</t>
  </si>
  <si>
    <t xml:space="preserve">Capa de chuva </t>
  </si>
  <si>
    <t>%/mês</t>
  </si>
  <si>
    <t>Enxada</t>
  </si>
  <si>
    <t>Carrinho de mão tipo pedreiro</t>
  </si>
  <si>
    <t>Carrinho gari 100 litros</t>
  </si>
  <si>
    <t>Vassoura de aço</t>
  </si>
  <si>
    <t>Pá coletora com cabo25</t>
  </si>
  <si>
    <t>Pá de corte</t>
  </si>
  <si>
    <t>Pá de concha</t>
  </si>
  <si>
    <t>Facão</t>
  </si>
  <si>
    <t>Serrote</t>
  </si>
  <si>
    <t>Tesoura</t>
  </si>
  <si>
    <t>Vassoura piaçava</t>
  </si>
  <si>
    <t>Vassoura em PVC para grama, com cabo</t>
  </si>
  <si>
    <t>Soprador a gasolina, com silenciador</t>
  </si>
  <si>
    <t>Foices</t>
  </si>
  <si>
    <t>Trincha tipo brocha com cabo</t>
  </si>
  <si>
    <t>Balde plástico com capacidade de 10 litros</t>
  </si>
  <si>
    <t>2.2. Uniformes e EPIs - Motoristas</t>
  </si>
  <si>
    <t>Seguro Contra Terceiros</t>
  </si>
  <si>
    <t>Licenciamento Veículos</t>
  </si>
  <si>
    <t>Veículos e Ferramentas</t>
  </si>
  <si>
    <t>Consumos</t>
  </si>
  <si>
    <t>Impostos e Seguros</t>
  </si>
  <si>
    <t>Contratação Serviços de Limpeza Urbana</t>
  </si>
  <si>
    <t>Síntese de Quantativos</t>
  </si>
  <si>
    <t>Licença Paternidade</t>
  </si>
  <si>
    <t>3. Composição do BDI - Benefícios e Despesas Indiretas</t>
  </si>
  <si>
    <t>MÃO DE OBRA</t>
  </si>
  <si>
    <t>Item</t>
  </si>
  <si>
    <t>Referência</t>
  </si>
  <si>
    <t>EQUIPAMENTOS DE PROTEÇÃO INDIVIDUAL</t>
  </si>
  <si>
    <t>Capacete</t>
  </si>
  <si>
    <t>CONSUMOS</t>
  </si>
  <si>
    <t>Total</t>
  </si>
  <si>
    <t>Total dos Efetivos</t>
  </si>
  <si>
    <t>Coordenador Geral</t>
  </si>
  <si>
    <t>Serviços Gerais</t>
  </si>
  <si>
    <t>Motorista Ônibus</t>
  </si>
  <si>
    <t>Motorista Kombi</t>
  </si>
  <si>
    <t>Motorista Caminhão</t>
  </si>
  <si>
    <t>Salário Mínimo 2025</t>
  </si>
  <si>
    <t>https://valor.globo.com/brasil/artigo/salario-minimo-2025-veja-o-valor.ghtml</t>
  </si>
  <si>
    <t>Desconto (%)</t>
  </si>
  <si>
    <t>Profissionai Serviços Gerais</t>
  </si>
  <si>
    <t>Motorista Ônibis</t>
  </si>
  <si>
    <t>https://seeac-rs.com.br/arquivos/20252.pdf</t>
  </si>
  <si>
    <t xml:space="preserve">1.8. Plano de Benefício Social  </t>
  </si>
  <si>
    <t>Referente aos Auxiliares Gerais (Conforme CCT)</t>
  </si>
  <si>
    <t>2.1. Uniformes e EPIs - Corrdenador e Auxiliar de Serviços Gerais</t>
  </si>
  <si>
    <t>Óculos de Segurança</t>
  </si>
  <si>
    <t xml:space="preserve">Botina/tênis compatível  </t>
  </si>
  <si>
    <t>https://produto.mercadolivre.com.br/MLB-3144184245-jaqueta-com-refletivo-2-bolsos-laterais-forrada-manta-grossa-_JM</t>
  </si>
  <si>
    <t>https://produto.mercadolivre.com.br/MLB-1103480441-calca-brim-uniforme-profissional-cinza-ou-azul-100algodo-_JM</t>
  </si>
  <si>
    <t>https://www.episonline.com.br/camiseta-preta-manga-longa-uv-fps-50-maicol-p9389</t>
  </si>
  <si>
    <t>https://www.wfepi.com.br/vestimentas-de-protecao/camiseta-manga-curta-algodao-penteado-100-algodao</t>
  </si>
  <si>
    <t>https://produto.mercadolivre.com.br/MLB-1392327752-botina-seguranca-elastico-bico-pvc-marluvas-vulcaflex-_JM</t>
  </si>
  <si>
    <t>https://www.wfepi.com.br/colete-de-protecao/colete-de-seguranca-refletivo-steelflex-sem-bolso</t>
  </si>
  <si>
    <t>https://www.superepi.com.br/bone-arabe-com-aba-cor-verde-fechamento-em-velcro-marca-brascamp-p1068701</t>
  </si>
  <si>
    <t>https://www.episonline.com.br/protetor-facial-max-incolor-08-plastcor-837811-1-p4754</t>
  </si>
  <si>
    <t>https://www.superepi.com.br/capa-de-chuva-em-pvc-maicol-p1046442</t>
  </si>
  <si>
    <t>https://www.fastepis.com.br/cremes-de-protecao/protetor-solar/protetor-solar-sunday-fps-30-120-ml</t>
  </si>
  <si>
    <t>https://www.superepi.com.br/capacete-de-seguranca-delta-plus-beryl-classe-b-com-suspensao-6-pontos-ca-29792</t>
  </si>
  <si>
    <t>https://www.superepi.com.br/oculos-rio-de-janeiro-poli-fer-incolor-com-ajuste-ca-34082</t>
  </si>
  <si>
    <t>VEÍCULOS E FERRAMENTAS</t>
  </si>
  <si>
    <t>Kombi para transportar - Ano 2015 ou superior</t>
  </si>
  <si>
    <t>Ônibus - Capacidade 42 lugares - Ano 2015 ou superior</t>
  </si>
  <si>
    <t>Caminhão - Capacidade 5000kg - Ano 2015 ou superior</t>
  </si>
  <si>
    <t>Ônibus conforme TR</t>
  </si>
  <si>
    <t>Kombi conforme TR</t>
  </si>
  <si>
    <t>Caminhão conforme TR</t>
  </si>
  <si>
    <t>Roçadeira conforme TR</t>
  </si>
  <si>
    <t>Carrinho de mão</t>
  </si>
  <si>
    <t xml:space="preserve">Sacos de lixo 130 litros </t>
  </si>
  <si>
    <t xml:space="preserve">Cal com fixador, para pintura de meio-fio </t>
  </si>
  <si>
    <t>https://mg.olx.com.br/regiao-de-pocos-de-caldas-e-varginha/autos-e-pecas/carros-vans-e-utilitarios/kombi-furgao-refrigerada-1389183033?lis=listing_no_category</t>
  </si>
  <si>
    <t>https://www.mercadolivre.com.br/rocadeira-a-gasolina-costal-profissional-63cc-3hp-nakasaki/p/MLB21419883</t>
  </si>
  <si>
    <t>Máquina Roçadeira costal a gasolina (mínimo 35CC)</t>
  </si>
  <si>
    <t>https://www.amazon.com.br/ENXADA-RAMADA-LARGA-CABO-MADEIRA</t>
  </si>
  <si>
    <t>https://produto.mercadolivre.com.br/MLB-5144121428-carrinho-de-mo-multiuso-vermelho-para-pedreiro</t>
  </si>
  <si>
    <t>https://cesconstrucao.com.br/vassoura-de-aco-carbono-p-grama-jardim-regulavel-18-dentes-max.</t>
  </si>
  <si>
    <t>https://www.mercadolivre.com.br/lixeira-contentor-plastica-120-litros-tipo-gari</t>
  </si>
  <si>
    <t>https://www.amazon.com.br/Vonder-Coletora-Para-Lixo-Cabo/dp/B09TBB8626</t>
  </si>
  <si>
    <t>Pá coletora com cabo 25</t>
  </si>
  <si>
    <t>https://produto.mercadolivre.com.br/MLB-5127807702-pa-cortadeira-forjada-vanga-bico-ponta-com-cabo-1mt-pandolfo-_JM</t>
  </si>
  <si>
    <t>https://produto.mercadolivre.com.br/MLB-3713411602-pa-concha-com-bico-tramontina-aco-com-cabo-empunhadura-_JM</t>
  </si>
  <si>
    <t>Qtd. Anual</t>
  </si>
  <si>
    <t>Total Anual</t>
  </si>
  <si>
    <t>Total Mensal</t>
  </si>
  <si>
    <t>https://www.amazon.com.br/Fac%C3%A3o-Granel-Corneta-7875112-Preto</t>
  </si>
  <si>
    <t>https://www.amazon.com.br/Serrote-Tripla-Afia%C3%A7%C3%A3o-Vonder-VDO899</t>
  </si>
  <si>
    <t>https://www.amazon.com.br/Tesoura-Tramontina-Cerca-Viva-Madeira-78330125</t>
  </si>
  <si>
    <t>https://produto.mercadolivre.com.br/MLB-3266051791-vassoura-tipo-gari-piacava-60cm-com-cabo-gigante-_JM</t>
  </si>
  <si>
    <t>https://www.petz.com.br/produto/vassoura-tramontina-22-dentes-com-cabo-120cm</t>
  </si>
  <si>
    <t>https://www.amazon.com.br/Soprador-Lateral-Gasolina-Carbon-Fak/</t>
  </si>
  <si>
    <t>https://www.mercadolivre.com.br/foice-reforcada-em-aco-carbono-sem-cabo-tramontina</t>
  </si>
  <si>
    <t>https://produto.mercadolivre.com.br/MLB-3914640649-broxa-retangular-trincha-pincel-de-parede</t>
  </si>
  <si>
    <t>https://www.mercadolivre.com.br/balde-de-plastico-com-alca-aco-12-litros-concreto</t>
  </si>
  <si>
    <t>https://produto.mercadolivre.com.br/MLB-3000813225-saco-de-lixo-150-litros-pacote-c-100-unidades-reforcado-08-_JM</t>
  </si>
  <si>
    <t>https://www.queroquero.com.br/cal-pintura-cerro-branco-com-fixador-8kg</t>
  </si>
  <si>
    <t>https://caminhao.mercadolivre.com.br/MLB-4755299052-ford-cargo-816-s-</t>
  </si>
  <si>
    <t>https://veiculo.mercadolivre.com.br/MLB-5335963790-nibus-urbano-mercedes-benz-1519-caio-foz-41-lugar-ano-2015</t>
  </si>
  <si>
    <t>Custo de óleo diesel</t>
  </si>
  <si>
    <t>Custo de óleo do motor</t>
  </si>
  <si>
    <t>Custo de óleo da transmissão</t>
  </si>
  <si>
    <t>Custo de óleo hidráulico</t>
  </si>
  <si>
    <t>Custo de graxa</t>
  </si>
  <si>
    <t>Qtd. De KM</t>
  </si>
  <si>
    <r>
      <t xml:space="preserve">Custo de óleo do motor / </t>
    </r>
    <r>
      <rPr>
        <b/>
        <sz val="10"/>
        <rFont val="Arial"/>
        <family val="2"/>
      </rPr>
      <t>1.000 km rodados</t>
    </r>
  </si>
  <si>
    <r>
      <t xml:space="preserve">Custo de óleo da transmissão / </t>
    </r>
    <r>
      <rPr>
        <b/>
        <sz val="10"/>
        <rFont val="Arial"/>
        <family val="2"/>
      </rPr>
      <t>1.000 km</t>
    </r>
  </si>
  <si>
    <r>
      <t>Custo de óleo diesel /</t>
    </r>
    <r>
      <rPr>
        <b/>
        <sz val="10"/>
        <rFont val="Arial"/>
        <family val="2"/>
      </rPr>
      <t xml:space="preserve"> km rodado</t>
    </r>
  </si>
  <si>
    <r>
      <t xml:space="preserve">Custo de óleo hidráulico / </t>
    </r>
    <r>
      <rPr>
        <b/>
        <sz val="10"/>
        <rFont val="Arial"/>
        <family val="2"/>
      </rPr>
      <t>1.000 km</t>
    </r>
  </si>
  <si>
    <r>
      <t xml:space="preserve">Custo de graxa / </t>
    </r>
    <r>
      <rPr>
        <b/>
        <sz val="10"/>
        <rFont val="Arial"/>
        <family val="2"/>
      </rPr>
      <t>1.000 km rodado</t>
    </r>
    <r>
      <rPr>
        <sz val="10"/>
        <rFont val="Arial"/>
        <family val="2"/>
      </rPr>
      <t>s</t>
    </r>
  </si>
  <si>
    <t>1.500</t>
  </si>
  <si>
    <t>Órgão : PM DE CRISSIUMAL, Modalidade : Pregão Lei 14.133/21 Eletrônico, Nr. : 39, Ano : 2025, Objeto : Compras, Abertura : 28/03/2025</t>
  </si>
  <si>
    <t>Órgão : PM DE BOA VISTA DO INCRA, Modalidade : Processo de Dispensa, Nr. : 22, Ano : 2025, Objeto : Compras, Abertura : 14/03/2025</t>
  </si>
  <si>
    <t>Órgão : PM DE MARCELINO RAMOS, Modalidade : Processo de Dispensa, Nr. : 73, Ano : 2025, Objeto : Compras e Outros Serviços, Abertura : 31/03/2025</t>
  </si>
  <si>
    <t>Órgão : PM DE CHARQUEADAS, Modalidade : Processo de Dispensa, Nr. : 7, Ano : 2025, Objeto : Compras e Outros Serviços, Abertura : 18/03/2025</t>
  </si>
  <si>
    <r>
      <t>Custo de óleo diesel /</t>
    </r>
    <r>
      <rPr>
        <b/>
        <sz val="10"/>
        <rFont val="Arial"/>
        <family val="2"/>
      </rPr>
      <t xml:space="preserve"> 2,50 km rodado</t>
    </r>
  </si>
  <si>
    <t>Subtotal (Qtd. KM)</t>
  </si>
  <si>
    <t>Total Consumos Ônibus (Considerando a capacidade de km)</t>
  </si>
  <si>
    <t>Total Consumos Kombi (Considerando a capacidade de km)</t>
  </si>
  <si>
    <t>Total Consumos Caminhão (Considerando a capacidade de km)</t>
  </si>
  <si>
    <t>Órgão : PM DE BOM PROGRESSO, Modalidade : Processo de Dispensa, Nr. : 30, Ano : 2025, Objeto : Compras e Outros Serviços, Abertura : 14/03/2025</t>
  </si>
  <si>
    <t>Qtd. Veículos</t>
  </si>
  <si>
    <t>IMPOSTOS E SEGUROS</t>
  </si>
  <si>
    <t>IPVA Ônibis</t>
  </si>
  <si>
    <t>IPVA Kombi</t>
  </si>
  <si>
    <t>IPVA Caminhão</t>
  </si>
  <si>
    <t>https://www.detran.rs.gov.br/pagamento-do-ipva-2025-comeca-em-11-de-dezembro</t>
  </si>
  <si>
    <t>Alíquota/ Valor</t>
  </si>
  <si>
    <t>https://www.genebraseguros.com.br/faq-items/qual-e-o-valor-do-seguro-contra-terceiros</t>
  </si>
  <si>
    <t>Alíquota/R$</t>
  </si>
  <si>
    <t xml:space="preserve">3. Veículos, Equipamentos/Ferramentas </t>
  </si>
  <si>
    <t>3. Custo Mensal com Veículos, Equipamentos/Ferramentas</t>
  </si>
  <si>
    <t>3.1 Total Veículos e Ferramentas (mensal)</t>
  </si>
  <si>
    <t>3.2 Total Consumos Veículos (mensal)</t>
  </si>
  <si>
    <t>3.3 Total Impostos e Seguros (mensal)</t>
  </si>
  <si>
    <t>3.4 Remuneração do Capital Investido</t>
  </si>
  <si>
    <t>https://www.zuldigital.com.br/blog/licenciamento-rs-2025-valor-crlv</t>
  </si>
  <si>
    <t>Sacos de lixo 130 litros (quantidade media mensal 1000)</t>
  </si>
  <si>
    <t>Cal com fixador, para pintura de meio-fio (quantidade media mensal - 1000 kg)</t>
  </si>
  <si>
    <t>Total (3 efetivos)</t>
  </si>
  <si>
    <t>Motoristas (3 efetivos)</t>
  </si>
  <si>
    <t>https://sinecarga.org.br/wp/wp-content/uploads/2025/05/ACT-2025-registrada.pdf</t>
  </si>
  <si>
    <t>1.6. Auxílio Alimentação/Refeição (incluindo sábados)</t>
  </si>
  <si>
    <t>1.7. Auxílio Cesta Básica</t>
  </si>
  <si>
    <t>https://sindirodosul.org.br/wp-content/uploads/2025/05/CONVENCAO-SEMELHANTE-AS-URBANAS-2024.2025REGISTRADA.pdf</t>
  </si>
  <si>
    <t>Total (47 efetivos)</t>
  </si>
  <si>
    <t>Grupo A</t>
  </si>
  <si>
    <t>Salário Educação</t>
  </si>
  <si>
    <t>Seguro Conta Acidente</t>
  </si>
  <si>
    <t>Sub-total</t>
  </si>
  <si>
    <t>Grupo B</t>
  </si>
  <si>
    <t>Auxílio Enfermidade</t>
  </si>
  <si>
    <t>13º Salário</t>
  </si>
  <si>
    <t>Faltas Justificadas</t>
  </si>
  <si>
    <t>Auxílio Acidente de Trabalho</t>
  </si>
  <si>
    <t>Férias Gozadas</t>
  </si>
  <si>
    <t>Salário Maternidade</t>
  </si>
  <si>
    <t>Grupo C</t>
  </si>
  <si>
    <t>Aviso Prévio Indenizado</t>
  </si>
  <si>
    <t>Aviso Prévio Trabalhado</t>
  </si>
  <si>
    <t>Depósito Rescisão sem Justa Causa</t>
  </si>
  <si>
    <t>Indenização Adicional</t>
  </si>
  <si>
    <t>Incidência cumulativa</t>
  </si>
  <si>
    <t>Grupo A sobre Grupo B</t>
  </si>
  <si>
    <t>Grupo A e FGTS sobre Aviso Prévio</t>
  </si>
  <si>
    <t>Total Encargos Sociais</t>
  </si>
  <si>
    <t>Não previsto na CCT</t>
  </si>
  <si>
    <t>CCT utilizada por cargo:</t>
  </si>
  <si>
    <t>1.1. Coordenador Geral (Secretariado Executivo Terceirizado)</t>
  </si>
  <si>
    <t>1.2. Profissionais Serviços Gerais  (Limpeza Urbana)</t>
  </si>
  <si>
    <t>1.3. Motorista Ônibus</t>
  </si>
  <si>
    <t>1.4. Motorista Kombi</t>
  </si>
  <si>
    <t>1.5. Motorista Caminhão</t>
  </si>
  <si>
    <t>Coordenador Geral (Secretariado Executivo Terceirizado): https://seeac-rs.com.br/arquivos/20252.pdf</t>
  </si>
  <si>
    <t>Profissionais Serviços Gerais  (Limpeza Urbana): https://seeac-rs.com.br/arquivos/20252.pdf</t>
  </si>
  <si>
    <t>Motorista Ônibus: https://sindirodosul.org.br/wp-content/uploads/2025/05/CONVENCAO-SEMELHANTE-AS-URBANAS-2024.2025REGISTRADA.pdf</t>
  </si>
  <si>
    <t>Motorista Kombi: https://sinecarga.org.br/wp/wp-content/uploads/2025/05/ACT-2025-registrada.pdf</t>
  </si>
  <si>
    <t>Motorista Caminhão: https://sinecarga.org.br/wp/wp-content/uploads/2025/05/ACT-2025-registrada.pdf</t>
  </si>
  <si>
    <r>
      <rPr>
        <b/>
        <sz val="11"/>
        <rFont val="Arial"/>
        <family val="2"/>
      </rPr>
      <t>Adicional de insalubridade:</t>
    </r>
    <r>
      <rPr>
        <sz val="10"/>
        <rFont val="Arial"/>
        <family val="2"/>
      </rPr>
      <t xml:space="preserve"> não previsto para as funções 1.1, 1.3, 1.4 e 1.5, porém como o objeto se trata de limpeza urbana, adicionado insalubridade para estes cargos, considerando 20% sobre o salário mínimo.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</si>
</sst>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&quot;R$&quot;\ * #,##0.00_ ;_ &quot;R$&quot;\ * \-#,##0.00_ ;_ &quot;R$&quot;\ * &quot;-&quot;??_ ;_ @_ 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&quot;R$ &quot;#,##0.00"/>
    <numFmt numFmtId="169" formatCode="_(* #,##0.0000_);_(* \(#,##0.0000\);_(* &quot;-&quot;??_);_(@_)"/>
    <numFmt numFmtId="170" formatCode="_-[$R$-416]\ * #,##0.00_-;\-[$R$-416]\ * #,##0.00_-;_-[$R$-416]\ * &quot;-&quot;??_-;_-@_-"/>
    <numFmt numFmtId="171" formatCode="_-* #,##0.0_-;\-* #,##0.0_-;_-* &quot;-&quot;??_-;_-@_-"/>
    <numFmt numFmtId="172" formatCode="_ * #,##0.00_ ;_ * \-#,##0.00_ ;_ * &quot;-&quot;??_ ;_ @_ "/>
    <numFmt numFmtId="173" formatCode="_(* #,##0.00_);_(* \(#,##0.00\);_(* \-??_);_(@_)"/>
    <numFmt numFmtId="174" formatCode="_-&quot;R$ &quot;* #,##0.00_-;&quot;-R$ &quot;* #,##0.00_-;_-&quot;R$ &quot;* \-??_-;_-@_-"/>
    <numFmt numFmtId="175" formatCode="&quot;R$&quot;\ #,##0.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0"/>
      <color rgb="FF40404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66669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1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vertical="center"/>
    </xf>
    <xf numFmtId="166" fontId="0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6" fontId="11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6" fontId="11" fillId="0" borderId="6" xfId="3" applyFont="1" applyBorder="1" applyAlignment="1">
      <alignment vertical="center"/>
    </xf>
    <xf numFmtId="166" fontId="8" fillId="0" borderId="0" xfId="3" applyFont="1" applyBorder="1" applyAlignment="1">
      <alignment vertical="center"/>
    </xf>
    <xf numFmtId="166" fontId="10" fillId="0" borderId="0" xfId="3" applyFont="1" applyAlignment="1">
      <alignment vertical="center"/>
    </xf>
    <xf numFmtId="166" fontId="8" fillId="0" borderId="0" xfId="3" applyFont="1" applyAlignment="1">
      <alignment vertical="center"/>
    </xf>
    <xf numFmtId="166" fontId="9" fillId="0" borderId="0" xfId="3" applyFont="1" applyBorder="1" applyAlignment="1">
      <alignment vertical="center"/>
    </xf>
    <xf numFmtId="166" fontId="11" fillId="0" borderId="0" xfId="3" applyFont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166" fontId="15" fillId="2" borderId="12" xfId="3" applyFont="1" applyFill="1" applyBorder="1" applyAlignment="1">
      <alignment horizontal="center" vertical="center"/>
    </xf>
    <xf numFmtId="166" fontId="15" fillId="2" borderId="13" xfId="3" applyFont="1" applyFill="1" applyBorder="1" applyAlignment="1">
      <alignment horizontal="center" vertical="center"/>
    </xf>
    <xf numFmtId="167" fontId="11" fillId="0" borderId="0" xfId="3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166" fontId="15" fillId="2" borderId="25" xfId="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11" fillId="0" borderId="0" xfId="3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28" xfId="0" applyBorder="1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Fill="1" applyBorder="1" applyAlignment="1">
      <alignment vertical="center"/>
    </xf>
    <xf numFmtId="0" fontId="10" fillId="0" borderId="17" xfId="0" applyFont="1" applyBorder="1"/>
    <xf numFmtId="10" fontId="10" fillId="0" borderId="14" xfId="2" applyNumberFormat="1" applyFont="1" applyBorder="1"/>
    <xf numFmtId="0" fontId="10" fillId="0" borderId="1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0" fontId="10" fillId="3" borderId="1" xfId="2" applyNumberFormat="1" applyFont="1" applyFill="1" applyBorder="1" applyAlignment="1">
      <alignment horizontal="center"/>
    </xf>
    <xf numFmtId="0" fontId="10" fillId="0" borderId="14" xfId="0" applyFont="1" applyBorder="1"/>
    <xf numFmtId="0" fontId="10" fillId="0" borderId="1" xfId="0" applyFont="1" applyBorder="1" applyAlignment="1">
      <alignment horizont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/>
    </xf>
    <xf numFmtId="10" fontId="10" fillId="0" borderId="1" xfId="2" applyNumberFormat="1" applyFont="1" applyBorder="1" applyAlignment="1">
      <alignment horizontal="right"/>
    </xf>
    <xf numFmtId="10" fontId="10" fillId="0" borderId="14" xfId="2" applyNumberFormat="1" applyFont="1" applyBorder="1" applyAlignment="1">
      <alignment horizontal="right"/>
    </xf>
    <xf numFmtId="10" fontId="10" fillId="0" borderId="18" xfId="2" applyNumberFormat="1" applyFont="1" applyBorder="1" applyAlignment="1">
      <alignment horizontal="right"/>
    </xf>
    <xf numFmtId="10" fontId="10" fillId="0" borderId="26" xfId="2" applyNumberFormat="1" applyFont="1" applyBorder="1" applyAlignment="1">
      <alignment horizontal="right"/>
    </xf>
    <xf numFmtId="10" fontId="10" fillId="0" borderId="27" xfId="2" applyNumberFormat="1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6" fontId="6" fillId="0" borderId="0" xfId="3" applyFont="1" applyAlignment="1">
      <alignment vertical="center"/>
    </xf>
    <xf numFmtId="0" fontId="24" fillId="7" borderId="5" xfId="0" applyFont="1" applyFill="1" applyBorder="1" applyAlignment="1">
      <alignment vertical="center"/>
    </xf>
    <xf numFmtId="0" fontId="24" fillId="7" borderId="6" xfId="0" applyFont="1" applyFill="1" applyBorder="1" applyAlignment="1">
      <alignment vertical="center"/>
    </xf>
    <xf numFmtId="166" fontId="24" fillId="7" borderId="6" xfId="3" applyFont="1" applyFill="1" applyBorder="1" applyAlignment="1">
      <alignment vertical="center"/>
    </xf>
    <xf numFmtId="166" fontId="24" fillId="7" borderId="7" xfId="3" applyFont="1" applyFill="1" applyBorder="1" applyAlignment="1">
      <alignment vertical="center"/>
    </xf>
    <xf numFmtId="0" fontId="25" fillId="7" borderId="6" xfId="0" applyFont="1" applyFill="1" applyBorder="1" applyAlignment="1">
      <alignment vertical="center"/>
    </xf>
    <xf numFmtId="166" fontId="25" fillId="7" borderId="6" xfId="3" applyFont="1" applyFill="1" applyBorder="1" applyAlignment="1">
      <alignment vertical="center"/>
    </xf>
    <xf numFmtId="44" fontId="24" fillId="7" borderId="4" xfId="4" applyFont="1" applyFill="1" applyBorder="1" applyAlignment="1">
      <alignment horizontal="center" vertical="center"/>
    </xf>
    <xf numFmtId="44" fontId="8" fillId="2" borderId="4" xfId="4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169" fontId="11" fillId="0" borderId="0" xfId="3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/>
    </xf>
    <xf numFmtId="0" fontId="24" fillId="4" borderId="0" xfId="0" applyFont="1" applyFill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center"/>
    </xf>
    <xf numFmtId="170" fontId="11" fillId="0" borderId="1" xfId="3" applyNumberFormat="1" applyFont="1" applyFill="1" applyBorder="1" applyAlignment="1">
      <alignment horizontal="center" vertical="center"/>
    </xf>
    <xf numFmtId="170" fontId="11" fillId="0" borderId="1" xfId="3" applyNumberFormat="1" applyFont="1" applyBorder="1" applyAlignment="1">
      <alignment horizontal="center" vertical="center"/>
    </xf>
    <xf numFmtId="44" fontId="8" fillId="2" borderId="7" xfId="4" applyFont="1" applyFill="1" applyBorder="1" applyAlignment="1">
      <alignment horizontal="center" vertical="center"/>
    </xf>
    <xf numFmtId="44" fontId="11" fillId="0" borderId="1" xfId="4" applyFont="1" applyBorder="1" applyAlignment="1">
      <alignment horizontal="center" vertical="center"/>
    </xf>
    <xf numFmtId="44" fontId="8" fillId="0" borderId="8" xfId="4" applyFont="1" applyBorder="1" applyAlignment="1">
      <alignment horizontal="center" vertical="center"/>
    </xf>
    <xf numFmtId="44" fontId="6" fillId="0" borderId="1" xfId="4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6" fontId="8" fillId="0" borderId="0" xfId="3" applyFont="1" applyBorder="1" applyAlignment="1">
      <alignment horizontal="left" vertical="center"/>
    </xf>
    <xf numFmtId="4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vertical="center"/>
    </xf>
    <xf numFmtId="9" fontId="11" fillId="0" borderId="0" xfId="2" applyFont="1" applyAlignment="1">
      <alignment vertical="center"/>
    </xf>
    <xf numFmtId="44" fontId="11" fillId="0" borderId="0" xfId="0" applyNumberFormat="1" applyFont="1" applyAlignment="1">
      <alignment vertical="center"/>
    </xf>
    <xf numFmtId="170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6" fontId="8" fillId="2" borderId="4" xfId="3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0" xfId="0" applyNumberFormat="1" applyFont="1" applyAlignment="1">
      <alignment vertical="center"/>
    </xf>
    <xf numFmtId="44" fontId="6" fillId="0" borderId="2" xfId="4" applyFont="1" applyBorder="1" applyAlignment="1">
      <alignment horizontal="center" vertical="center"/>
    </xf>
    <xf numFmtId="10" fontId="12" fillId="5" borderId="7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8" fillId="8" borderId="5" xfId="0" applyFont="1" applyFill="1" applyBorder="1" applyAlignment="1">
      <alignment vertical="center"/>
    </xf>
    <xf numFmtId="0" fontId="29" fillId="8" borderId="6" xfId="0" applyFont="1" applyFill="1" applyBorder="1" applyAlignment="1">
      <alignment vertical="center"/>
    </xf>
    <xf numFmtId="173" fontId="29" fillId="8" borderId="6" xfId="3" applyNumberFormat="1" applyFont="1" applyFill="1" applyBorder="1" applyAlignment="1" applyProtection="1">
      <alignment vertical="center"/>
    </xf>
    <xf numFmtId="173" fontId="29" fillId="8" borderId="7" xfId="3" applyNumberFormat="1" applyFont="1" applyFill="1" applyBorder="1" applyAlignment="1" applyProtection="1">
      <alignment vertical="center"/>
    </xf>
    <xf numFmtId="0" fontId="6" fillId="4" borderId="2" xfId="0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4" fontId="6" fillId="0" borderId="3" xfId="4" applyFont="1" applyBorder="1" applyAlignment="1">
      <alignment horizontal="center" vertical="center"/>
    </xf>
    <xf numFmtId="44" fontId="8" fillId="0" borderId="3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8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6" fillId="0" borderId="0" xfId="1" applyFont="1" applyAlignment="1" applyProtection="1">
      <alignment vertical="center"/>
    </xf>
    <xf numFmtId="0" fontId="6" fillId="0" borderId="0" xfId="16" applyAlignment="1">
      <alignment vertical="center"/>
    </xf>
    <xf numFmtId="4" fontId="6" fillId="0" borderId="0" xfId="16" applyNumberFormat="1" applyAlignment="1">
      <alignment vertical="center"/>
    </xf>
    <xf numFmtId="166" fontId="0" fillId="0" borderId="0" xfId="44" applyFont="1" applyAlignment="1">
      <alignment vertical="center"/>
    </xf>
    <xf numFmtId="166" fontId="30" fillId="0" borderId="0" xfId="44" applyFont="1" applyAlignment="1">
      <alignment vertical="center"/>
    </xf>
    <xf numFmtId="0" fontId="6" fillId="0" borderId="0" xfId="16"/>
    <xf numFmtId="0" fontId="16" fillId="0" borderId="0" xfId="16" applyFont="1" applyAlignment="1">
      <alignment vertical="center"/>
    </xf>
    <xf numFmtId="0" fontId="17" fillId="0" borderId="0" xfId="16" applyFont="1" applyAlignment="1">
      <alignment horizontal="left" vertical="center"/>
    </xf>
    <xf numFmtId="0" fontId="19" fillId="0" borderId="0" xfId="16" applyFont="1" applyAlignment="1">
      <alignment horizontal="left" vertical="center"/>
    </xf>
    <xf numFmtId="10" fontId="6" fillId="0" borderId="0" xfId="16" applyNumberFormat="1"/>
    <xf numFmtId="9" fontId="17" fillId="0" borderId="0" xfId="24" applyFont="1" applyBorder="1" applyAlignment="1">
      <alignment horizontal="right" vertical="center"/>
    </xf>
    <xf numFmtId="0" fontId="18" fillId="0" borderId="0" xfId="16" applyFont="1" applyAlignment="1">
      <alignment horizontal="left" vertical="center"/>
    </xf>
    <xf numFmtId="10" fontId="18" fillId="0" borderId="0" xfId="16" applyNumberFormat="1" applyFont="1" applyAlignment="1">
      <alignment horizontal="right" vertical="center"/>
    </xf>
    <xf numFmtId="10" fontId="17" fillId="0" borderId="0" xfId="16" applyNumberFormat="1" applyFont="1" applyAlignment="1">
      <alignment horizontal="right" vertical="center"/>
    </xf>
    <xf numFmtId="0" fontId="20" fillId="0" borderId="0" xfId="16" applyFont="1" applyAlignment="1">
      <alignment horizontal="justify" vertical="center"/>
    </xf>
    <xf numFmtId="0" fontId="13" fillId="0" borderId="0" xfId="45" applyBorder="1" applyAlignment="1" applyProtection="1">
      <alignment horizontal="left" vertical="center"/>
    </xf>
    <xf numFmtId="0" fontId="21" fillId="0" borderId="0" xfId="16" applyFont="1"/>
    <xf numFmtId="0" fontId="17" fillId="0" borderId="0" xfId="16" applyFont="1" applyAlignment="1">
      <alignment horizontal="right" vertical="center"/>
    </xf>
    <xf numFmtId="0" fontId="13" fillId="0" borderId="0" xfId="45" applyBorder="1" applyAlignment="1" applyProtection="1">
      <alignment vertical="center"/>
    </xf>
    <xf numFmtId="2" fontId="11" fillId="4" borderId="1" xfId="3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0" fontId="10" fillId="0" borderId="29" xfId="0" applyNumberFormat="1" applyFont="1" applyBorder="1" applyAlignment="1">
      <alignment vertical="center"/>
    </xf>
    <xf numFmtId="0" fontId="10" fillId="0" borderId="33" xfId="0" applyFont="1" applyBorder="1"/>
    <xf numFmtId="0" fontId="10" fillId="0" borderId="2" xfId="0" applyFont="1" applyBorder="1" applyAlignment="1">
      <alignment horizontal="center"/>
    </xf>
    <xf numFmtId="0" fontId="10" fillId="0" borderId="30" xfId="0" applyFont="1" applyBorder="1"/>
    <xf numFmtId="10" fontId="10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1" fillId="0" borderId="0" xfId="46"/>
    <xf numFmtId="0" fontId="8" fillId="0" borderId="17" xfId="16" applyFont="1" applyBorder="1" applyAlignment="1">
      <alignment horizontal="center" vertical="center"/>
    </xf>
    <xf numFmtId="175" fontId="8" fillId="0" borderId="1" xfId="16" applyNumberFormat="1" applyFont="1" applyBorder="1" applyAlignment="1">
      <alignment horizontal="center" vertical="center"/>
    </xf>
    <xf numFmtId="0" fontId="8" fillId="0" borderId="14" xfId="16" applyFont="1" applyBorder="1" applyAlignment="1">
      <alignment horizontal="center" vertical="center"/>
    </xf>
    <xf numFmtId="175" fontId="6" fillId="0" borderId="26" xfId="16" applyNumberFormat="1" applyBorder="1" applyAlignment="1">
      <alignment horizontal="center" vertical="center"/>
    </xf>
    <xf numFmtId="175" fontId="6" fillId="0" borderId="1" xfId="16" applyNumberFormat="1" applyBorder="1" applyAlignment="1">
      <alignment horizontal="center" vertical="center"/>
    </xf>
    <xf numFmtId="0" fontId="6" fillId="0" borderId="0" xfId="16" applyAlignment="1">
      <alignment horizontal="center" vertical="center"/>
    </xf>
    <xf numFmtId="175" fontId="6" fillId="0" borderId="0" xfId="16" applyNumberFormat="1" applyAlignment="1">
      <alignment horizontal="center" vertical="center"/>
    </xf>
    <xf numFmtId="0" fontId="32" fillId="0" borderId="14" xfId="16" applyFont="1" applyBorder="1" applyAlignment="1">
      <alignment horizontal="center" vertical="center"/>
    </xf>
    <xf numFmtId="0" fontId="8" fillId="0" borderId="0" xfId="16" applyFont="1" applyAlignment="1">
      <alignment horizontal="center" vertical="center"/>
    </xf>
    <xf numFmtId="2" fontId="21" fillId="0" borderId="0" xfId="16" applyNumberFormat="1" applyFont="1" applyAlignment="1">
      <alignment vertical="center"/>
    </xf>
    <xf numFmtId="175" fontId="1" fillId="0" borderId="0" xfId="46" applyNumberFormat="1"/>
    <xf numFmtId="170" fontId="11" fillId="4" borderId="2" xfId="3" applyNumberFormat="1" applyFont="1" applyFill="1" applyBorder="1" applyAlignment="1">
      <alignment horizontal="center" vertical="center"/>
    </xf>
    <xf numFmtId="166" fontId="6" fillId="4" borderId="2" xfId="3" applyFont="1" applyFill="1" applyBorder="1" applyAlignment="1">
      <alignment horizontal="center" vertical="center"/>
    </xf>
    <xf numFmtId="166" fontId="8" fillId="0" borderId="2" xfId="3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170" fontId="11" fillId="0" borderId="30" xfId="3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70" fontId="11" fillId="0" borderId="14" xfId="3" applyNumberFormat="1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Border="1" applyAlignment="1">
      <alignment horizontal="center" vertical="center"/>
    </xf>
    <xf numFmtId="170" fontId="6" fillId="0" borderId="14" xfId="3" applyNumberFormat="1" applyFont="1" applyBorder="1" applyAlignment="1">
      <alignment horizontal="center" vertical="center"/>
    </xf>
    <xf numFmtId="170" fontId="6" fillId="0" borderId="35" xfId="3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" fontId="11" fillId="4" borderId="26" xfId="0" applyNumberFormat="1" applyFont="1" applyFill="1" applyBorder="1" applyAlignment="1">
      <alignment horizontal="center" vertical="center"/>
    </xf>
    <xf numFmtId="170" fontId="11" fillId="0" borderId="26" xfId="3" applyNumberFormat="1" applyFont="1" applyBorder="1" applyAlignment="1">
      <alignment horizontal="center" vertical="center"/>
    </xf>
    <xf numFmtId="44" fontId="11" fillId="0" borderId="30" xfId="4" applyFont="1" applyBorder="1" applyAlignment="1">
      <alignment horizontal="center" vertical="center"/>
    </xf>
    <xf numFmtId="44" fontId="8" fillId="0" borderId="0" xfId="4" applyFont="1" applyBorder="1" applyAlignment="1">
      <alignment horizontal="center" vertical="center"/>
    </xf>
    <xf numFmtId="44" fontId="6" fillId="0" borderId="30" xfId="4" applyFont="1" applyBorder="1" applyAlignment="1">
      <alignment horizontal="center" vertical="center"/>
    </xf>
    <xf numFmtId="44" fontId="6" fillId="0" borderId="14" xfId="4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4" fontId="11" fillId="0" borderId="26" xfId="4" applyFont="1" applyBorder="1" applyAlignment="1">
      <alignment horizontal="center" vertical="center"/>
    </xf>
    <xf numFmtId="165" fontId="8" fillId="0" borderId="26" xfId="0" applyNumberFormat="1" applyFont="1" applyBorder="1" applyAlignment="1">
      <alignment vertical="center"/>
    </xf>
    <xf numFmtId="166" fontId="8" fillId="0" borderId="30" xfId="3" applyFont="1" applyBorder="1" applyAlignment="1">
      <alignment horizontal="center" vertical="center"/>
    </xf>
    <xf numFmtId="10" fontId="8" fillId="0" borderId="29" xfId="2" applyNumberFormat="1" applyFont="1" applyBorder="1" applyAlignment="1">
      <alignment horizontal="center" vertical="center"/>
    </xf>
    <xf numFmtId="10" fontId="6" fillId="0" borderId="29" xfId="2" applyNumberFormat="1" applyFont="1" applyBorder="1" applyAlignment="1">
      <alignment horizontal="center" vertical="center"/>
    </xf>
    <xf numFmtId="10" fontId="8" fillId="0" borderId="27" xfId="2" applyNumberFormat="1" applyFont="1" applyBorder="1" applyAlignment="1">
      <alignment horizontal="center" vertical="center"/>
    </xf>
    <xf numFmtId="0" fontId="6" fillId="0" borderId="18" xfId="16" applyBorder="1" applyAlignment="1">
      <alignment horizontal="center" vertical="center"/>
    </xf>
    <xf numFmtId="0" fontId="6" fillId="0" borderId="17" xfId="16" applyBorder="1" applyAlignment="1">
      <alignment horizontal="center" vertical="center"/>
    </xf>
    <xf numFmtId="0" fontId="6" fillId="0" borderId="14" xfId="1" applyFont="1" applyBorder="1" applyAlignment="1" applyProtection="1">
      <alignment horizontal="left" vertical="center"/>
    </xf>
    <xf numFmtId="0" fontId="6" fillId="0" borderId="27" xfId="1" applyFont="1" applyBorder="1" applyAlignment="1" applyProtection="1">
      <alignment horizontal="left" vertical="center"/>
    </xf>
    <xf numFmtId="2" fontId="6" fillId="0" borderId="2" xfId="3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6" fillId="0" borderId="36" xfId="3" applyNumberFormat="1" applyFont="1" applyBorder="1" applyAlignment="1">
      <alignment horizontal="center" vertical="center"/>
    </xf>
    <xf numFmtId="44" fontId="6" fillId="4" borderId="1" xfId="4" applyFont="1" applyFill="1" applyBorder="1" applyAlignment="1">
      <alignment horizontal="center" vertical="center"/>
    </xf>
    <xf numFmtId="166" fontId="15" fillId="2" borderId="10" xfId="3" applyFont="1" applyFill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44" fontId="11" fillId="4" borderId="14" xfId="4" applyFont="1" applyFill="1" applyBorder="1" applyAlignment="1">
      <alignment vertical="center"/>
    </xf>
    <xf numFmtId="44" fontId="8" fillId="2" borderId="14" xfId="4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1" fontId="11" fillId="0" borderId="26" xfId="3" applyNumberFormat="1" applyFont="1" applyFill="1" applyBorder="1" applyAlignment="1">
      <alignment horizontal="center" vertical="center"/>
    </xf>
    <xf numFmtId="44" fontId="11" fillId="4" borderId="26" xfId="4" applyFont="1" applyFill="1" applyBorder="1" applyAlignment="1">
      <alignment horizontal="center" vertical="center"/>
    </xf>
    <xf numFmtId="175" fontId="6" fillId="0" borderId="3" xfId="16" applyNumberFormat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44" fontId="11" fillId="0" borderId="2" xfId="4" applyFont="1" applyFill="1" applyBorder="1" applyAlignment="1">
      <alignment horizontal="center" vertical="center"/>
    </xf>
    <xf numFmtId="44" fontId="8" fillId="2" borderId="23" xfId="4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6" fontId="15" fillId="2" borderId="1" xfId="3" applyFont="1" applyFill="1" applyBorder="1" applyAlignment="1">
      <alignment horizontal="center" vertical="center"/>
    </xf>
    <xf numFmtId="0" fontId="6" fillId="0" borderId="35" xfId="1" applyFont="1" applyBorder="1" applyAlignment="1" applyProtection="1">
      <alignment horizontal="left" vertical="center"/>
    </xf>
    <xf numFmtId="0" fontId="6" fillId="0" borderId="35" xfId="47" applyFont="1" applyBorder="1" applyAlignment="1">
      <alignment horizontal="left" vertical="center"/>
    </xf>
    <xf numFmtId="0" fontId="26" fillId="0" borderId="14" xfId="16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6" fillId="0" borderId="17" xfId="0" applyFont="1" applyBorder="1"/>
    <xf numFmtId="0" fontId="6" fillId="0" borderId="34" xfId="16" applyBorder="1" applyAlignment="1">
      <alignment horizontal="left" vertical="center"/>
    </xf>
    <xf numFmtId="0" fontId="6" fillId="0" borderId="35" xfId="16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6" fillId="0" borderId="0" xfId="4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66" fontId="15" fillId="2" borderId="16" xfId="3" applyFont="1" applyFill="1" applyBorder="1" applyAlignment="1">
      <alignment horizontal="center" vertical="center"/>
    </xf>
    <xf numFmtId="166" fontId="15" fillId="2" borderId="9" xfId="3" applyFont="1" applyFill="1" applyBorder="1" applyAlignment="1">
      <alignment horizontal="center" vertical="center"/>
    </xf>
    <xf numFmtId="0" fontId="6" fillId="0" borderId="17" xfId="0" applyFont="1" applyBorder="1" applyAlignment="1">
      <alignment horizontal="justify" vertical="center" wrapText="1"/>
    </xf>
    <xf numFmtId="44" fontId="8" fillId="0" borderId="27" xfId="0" applyNumberFormat="1" applyFont="1" applyBorder="1" applyAlignment="1">
      <alignment vertical="center" wrapText="1"/>
    </xf>
    <xf numFmtId="174" fontId="27" fillId="4" borderId="1" xfId="4" applyNumberFormat="1" applyFont="1" applyFill="1" applyBorder="1" applyAlignment="1" applyProtection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44" fontId="6" fillId="4" borderId="2" xfId="4" applyFont="1" applyFill="1" applyBorder="1" applyAlignment="1">
      <alignment horizontal="center" vertical="center"/>
    </xf>
    <xf numFmtId="2" fontId="6" fillId="4" borderId="1" xfId="3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4" fontId="6" fillId="4" borderId="3" xfId="4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7" xfId="16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5" xfId="16" applyBorder="1" applyAlignment="1">
      <alignment vertical="center"/>
    </xf>
    <xf numFmtId="3" fontId="6" fillId="0" borderId="16" xfId="0" applyNumberFormat="1" applyFont="1" applyBorder="1" applyAlignment="1">
      <alignment horizontal="center" vertical="center"/>
    </xf>
    <xf numFmtId="44" fontId="6" fillId="0" borderId="1" xfId="3" applyNumberFormat="1" applyFont="1" applyBorder="1" applyAlignment="1">
      <alignment horizontal="center" vertical="center"/>
    </xf>
    <xf numFmtId="44" fontId="6" fillId="0" borderId="14" xfId="3" applyNumberFormat="1" applyFont="1" applyBorder="1" applyAlignment="1">
      <alignment horizontal="center" vertical="center"/>
    </xf>
    <xf numFmtId="44" fontId="11" fillId="0" borderId="1" xfId="3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0" borderId="16" xfId="4" applyFont="1" applyBorder="1" applyAlignment="1">
      <alignment horizontal="center" vertical="center"/>
    </xf>
    <xf numFmtId="44" fontId="6" fillId="0" borderId="16" xfId="0" applyNumberFormat="1" applyFont="1" applyBorder="1" applyAlignment="1">
      <alignment horizontal="center" vertical="center"/>
    </xf>
    <xf numFmtId="44" fontId="6" fillId="0" borderId="9" xfId="4" applyFont="1" applyBorder="1" applyAlignment="1">
      <alignment horizontal="center" vertical="center"/>
    </xf>
    <xf numFmtId="44" fontId="8" fillId="2" borderId="4" xfId="4" applyFont="1" applyFill="1" applyBorder="1" applyAlignment="1">
      <alignment horizontal="center" vertical="center"/>
    </xf>
    <xf numFmtId="0" fontId="6" fillId="0" borderId="33" xfId="16" applyBorder="1" applyAlignment="1">
      <alignment vertical="center"/>
    </xf>
    <xf numFmtId="0" fontId="33" fillId="0" borderId="29" xfId="0" applyFont="1" applyBorder="1" applyAlignment="1">
      <alignment horizontal="left"/>
    </xf>
    <xf numFmtId="0" fontId="6" fillId="0" borderId="18" xfId="16" applyBorder="1" applyAlignment="1">
      <alignment vertical="center"/>
    </xf>
    <xf numFmtId="0" fontId="33" fillId="0" borderId="23" xfId="0" applyFont="1" applyBorder="1" applyAlignment="1">
      <alignment horizontal="left"/>
    </xf>
    <xf numFmtId="0" fontId="21" fillId="0" borderId="35" xfId="16" applyFont="1" applyBorder="1" applyAlignment="1">
      <alignment horizontal="left" vertical="center"/>
    </xf>
    <xf numFmtId="9" fontId="6" fillId="0" borderId="2" xfId="2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44" fontId="6" fillId="0" borderId="43" xfId="4" applyFont="1" applyBorder="1" applyAlignment="1">
      <alignment horizontal="center" vertical="center"/>
    </xf>
    <xf numFmtId="44" fontId="6" fillId="0" borderId="35" xfId="4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2" fontId="6" fillId="4" borderId="12" xfId="3" applyNumberFormat="1" applyFont="1" applyFill="1" applyBorder="1" applyAlignment="1">
      <alignment horizontal="center" vertical="center"/>
    </xf>
    <xf numFmtId="44" fontId="6" fillId="0" borderId="12" xfId="4" applyFont="1" applyBorder="1" applyAlignment="1">
      <alignment horizontal="center" vertical="center"/>
    </xf>
    <xf numFmtId="0" fontId="6" fillId="4" borderId="44" xfId="0" applyFont="1" applyFill="1" applyBorder="1" applyAlignment="1">
      <alignment horizontal="left" vertical="center"/>
    </xf>
    <xf numFmtId="0" fontId="6" fillId="4" borderId="36" xfId="0" applyFont="1" applyFill="1" applyBorder="1" applyAlignment="1">
      <alignment horizontal="center" vertical="center"/>
    </xf>
    <xf numFmtId="10" fontId="6" fillId="4" borderId="36" xfId="0" applyNumberFormat="1" applyFont="1" applyFill="1" applyBorder="1" applyAlignment="1">
      <alignment horizontal="center" vertical="center"/>
    </xf>
    <xf numFmtId="44" fontId="6" fillId="4" borderId="36" xfId="0" applyNumberFormat="1" applyFont="1" applyFill="1" applyBorder="1" applyAlignment="1">
      <alignment vertical="center"/>
    </xf>
    <xf numFmtId="0" fontId="6" fillId="0" borderId="44" xfId="0" applyFont="1" applyBorder="1" applyAlignment="1">
      <alignment vertical="center"/>
    </xf>
    <xf numFmtId="44" fontId="6" fillId="0" borderId="36" xfId="0" applyNumberFormat="1" applyFont="1" applyBorder="1" applyAlignment="1">
      <alignment horizontal="center" vertical="center"/>
    </xf>
    <xf numFmtId="168" fontId="8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75" fontId="11" fillId="4" borderId="26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7" fillId="0" borderId="0" xfId="0" applyFont="1" applyAlignment="1">
      <alignment horizontal="left" vertical="justify" wrapText="1"/>
    </xf>
    <xf numFmtId="0" fontId="7" fillId="0" borderId="0" xfId="0" applyFont="1" applyAlignment="1">
      <alignment horizontal="left" vertical="justify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166" fontId="8" fillId="0" borderId="28" xfId="3" applyFont="1" applyBorder="1" applyAlignment="1">
      <alignment horizontal="left" vertical="center"/>
    </xf>
    <xf numFmtId="166" fontId="8" fillId="0" borderId="0" xfId="3" applyFont="1" applyBorder="1" applyAlignment="1">
      <alignment horizontal="left" vertical="center"/>
    </xf>
    <xf numFmtId="166" fontId="8" fillId="0" borderId="18" xfId="3" applyFont="1" applyBorder="1" applyAlignment="1">
      <alignment horizontal="left" vertical="center"/>
    </xf>
    <xf numFmtId="166" fontId="8" fillId="0" borderId="26" xfId="3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166" fontId="9" fillId="6" borderId="11" xfId="3" applyFont="1" applyFill="1" applyBorder="1" applyAlignment="1">
      <alignment horizontal="center" vertical="center"/>
    </xf>
    <xf numFmtId="166" fontId="9" fillId="6" borderId="12" xfId="3" applyFont="1" applyFill="1" applyBorder="1" applyAlignment="1">
      <alignment horizontal="center" vertical="center"/>
    </xf>
    <xf numFmtId="166" fontId="9" fillId="6" borderId="13" xfId="3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justify"/>
    </xf>
    <xf numFmtId="0" fontId="16" fillId="6" borderId="20" xfId="0" applyFont="1" applyFill="1" applyBorder="1" applyAlignment="1">
      <alignment horizontal="center" vertical="justify"/>
    </xf>
    <xf numFmtId="166" fontId="8" fillId="0" borderId="33" xfId="3" applyFont="1" applyBorder="1" applyAlignment="1">
      <alignment horizontal="left" vertical="center"/>
    </xf>
    <xf numFmtId="166" fontId="8" fillId="0" borderId="2" xfId="3" applyFont="1" applyBorder="1" applyAlignment="1">
      <alignment horizontal="left" vertical="center"/>
    </xf>
    <xf numFmtId="166" fontId="0" fillId="0" borderId="28" xfId="3" applyFont="1" applyBorder="1" applyAlignment="1">
      <alignment horizontal="left" vertical="center"/>
    </xf>
    <xf numFmtId="166" fontId="0" fillId="0" borderId="0" xfId="3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9" borderId="15" xfId="16" applyFont="1" applyFill="1" applyBorder="1" applyAlignment="1">
      <alignment horizontal="center" vertical="center"/>
    </xf>
    <xf numFmtId="0" fontId="8" fillId="9" borderId="16" xfId="16" applyFont="1" applyFill="1" applyBorder="1" applyAlignment="1">
      <alignment horizontal="center" vertical="center"/>
    </xf>
    <xf numFmtId="0" fontId="8" fillId="9" borderId="9" xfId="16" applyFont="1" applyFill="1" applyBorder="1" applyAlignment="1">
      <alignment horizontal="center" vertical="center"/>
    </xf>
    <xf numFmtId="0" fontId="13" fillId="0" borderId="14" xfId="1" applyBorder="1" applyAlignment="1" applyProtection="1">
      <alignment horizontal="left" vertical="center"/>
    </xf>
    <xf numFmtId="44" fontId="6" fillId="0" borderId="3" xfId="3" applyNumberFormat="1" applyFont="1" applyBorder="1" applyAlignment="1">
      <alignment horizontal="center" vertical="center"/>
    </xf>
    <xf numFmtId="2" fontId="6" fillId="0" borderId="46" xfId="3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72" fontId="9" fillId="0" borderId="0" xfId="38" applyFont="1" applyAlignment="1">
      <alignment vertical="center"/>
    </xf>
    <xf numFmtId="172" fontId="6" fillId="0" borderId="0" xfId="38" applyFont="1" applyAlignment="1">
      <alignment vertical="center"/>
    </xf>
    <xf numFmtId="172" fontId="8" fillId="0" borderId="0" xfId="38" applyFont="1" applyBorder="1" applyAlignment="1">
      <alignment vertical="center"/>
    </xf>
    <xf numFmtId="10" fontId="8" fillId="0" borderId="0" xfId="23" applyNumberFormat="1" applyFont="1" applyBorder="1" applyAlignment="1">
      <alignment vertical="center"/>
    </xf>
    <xf numFmtId="172" fontId="34" fillId="0" borderId="0" xfId="38" applyFont="1" applyBorder="1" applyAlignment="1">
      <alignment vertical="center"/>
    </xf>
    <xf numFmtId="9" fontId="34" fillId="0" borderId="0" xfId="23" applyFont="1" applyBorder="1" applyAlignment="1">
      <alignment vertical="center"/>
    </xf>
    <xf numFmtId="172" fontId="6" fillId="0" borderId="1" xfId="38" applyFont="1" applyBorder="1" applyAlignment="1">
      <alignment vertical="center"/>
    </xf>
    <xf numFmtId="10" fontId="6" fillId="0" borderId="1" xfId="23" applyNumberFormat="1" applyFont="1" applyBorder="1" applyAlignment="1">
      <alignment vertical="center"/>
    </xf>
    <xf numFmtId="172" fontId="8" fillId="0" borderId="1" xfId="38" applyFont="1" applyBorder="1" applyAlignment="1">
      <alignment vertical="center"/>
    </xf>
    <xf numFmtId="10" fontId="8" fillId="0" borderId="1" xfId="23" applyNumberFormat="1" applyFont="1" applyBorder="1" applyAlignment="1">
      <alignment vertical="center"/>
    </xf>
    <xf numFmtId="10" fontId="34" fillId="0" borderId="0" xfId="23" applyNumberFormat="1" applyFont="1" applyBorder="1" applyAlignment="1">
      <alignment vertical="center"/>
    </xf>
    <xf numFmtId="0" fontId="13" fillId="0" borderId="0" xfId="1" applyAlignment="1" applyProtection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</cellXfs>
  <cellStyles count="48">
    <cellStyle name="Hiperlink" xfId="1" builtinId="8"/>
    <cellStyle name="Hiperlink 2" xfId="45" xr:uid="{DFD0CA81-6F01-4BB2-B61D-2C84E3B894DC}"/>
    <cellStyle name="Hiperlink 3" xfId="47" xr:uid="{E2CCF03A-F987-4D8D-BDEC-218A741134C4}"/>
    <cellStyle name="Moeda" xfId="4" builtinId="4"/>
    <cellStyle name="Moeda 2" xfId="7" xr:uid="{00000000-0005-0000-0000-000002000000}"/>
    <cellStyle name="Moeda 3" xfId="8" xr:uid="{00000000-0005-0000-0000-000003000000}"/>
    <cellStyle name="Normal" xfId="0" builtinId="0"/>
    <cellStyle name="Normal 10" xfId="9" xr:uid="{00000000-0005-0000-0000-000005000000}"/>
    <cellStyle name="Normal 11" xfId="10" xr:uid="{00000000-0005-0000-0000-000006000000}"/>
    <cellStyle name="Normal 12" xfId="11" xr:uid="{00000000-0005-0000-0000-000007000000}"/>
    <cellStyle name="Normal 13" xfId="12" xr:uid="{00000000-0005-0000-0000-000008000000}"/>
    <cellStyle name="Normal 14" xfId="13" xr:uid="{00000000-0005-0000-0000-000009000000}"/>
    <cellStyle name="Normal 15" xfId="14" xr:uid="{00000000-0005-0000-0000-00000A000000}"/>
    <cellStyle name="Normal 16" xfId="39" xr:uid="{00000000-0005-0000-0000-00000B000000}"/>
    <cellStyle name="Normal 16 2" xfId="41" xr:uid="{00000000-0005-0000-0000-00000C000000}"/>
    <cellStyle name="Normal 17" xfId="42" xr:uid="{00000000-0005-0000-0000-00000D000000}"/>
    <cellStyle name="Normal 18" xfId="46" xr:uid="{883690D4-8A8D-475C-89A7-C44F082F7FB2}"/>
    <cellStyle name="Normal 2" xfId="15" xr:uid="{00000000-0005-0000-0000-00000E000000}"/>
    <cellStyle name="Normal 2 2" xfId="16" xr:uid="{00000000-0005-0000-0000-00000F000000}"/>
    <cellStyle name="Normal 2 3" xfId="6" xr:uid="{00000000-0005-0000-0000-000010000000}"/>
    <cellStyle name="Normal 3" xfId="17" xr:uid="{00000000-0005-0000-0000-000011000000}"/>
    <cellStyle name="Normal 4" xfId="18" xr:uid="{00000000-0005-0000-0000-000012000000}"/>
    <cellStyle name="Normal 5" xfId="19" xr:uid="{00000000-0005-0000-0000-000013000000}"/>
    <cellStyle name="Normal 6" xfId="5" xr:uid="{00000000-0005-0000-0000-000014000000}"/>
    <cellStyle name="Normal 6 2" xfId="40" xr:uid="{00000000-0005-0000-0000-000015000000}"/>
    <cellStyle name="Normal 7" xfId="20" xr:uid="{00000000-0005-0000-0000-000016000000}"/>
    <cellStyle name="Normal 8" xfId="21" xr:uid="{00000000-0005-0000-0000-000017000000}"/>
    <cellStyle name="Normal 9" xfId="22" xr:uid="{00000000-0005-0000-0000-000018000000}"/>
    <cellStyle name="Porcentagem" xfId="2" builtinId="5"/>
    <cellStyle name="Porcentagem 2" xfId="23" xr:uid="{00000000-0005-0000-0000-00001A000000}"/>
    <cellStyle name="Porcentagem 3" xfId="24" xr:uid="{00000000-0005-0000-0000-00001B000000}"/>
    <cellStyle name="Separador de milhares 10" xfId="25" xr:uid="{00000000-0005-0000-0000-00001C000000}"/>
    <cellStyle name="Separador de milhares 11" xfId="26" xr:uid="{00000000-0005-0000-0000-00001D000000}"/>
    <cellStyle name="Separador de milhares 12" xfId="27" xr:uid="{00000000-0005-0000-0000-00001E000000}"/>
    <cellStyle name="Separador de milhares 13" xfId="28" xr:uid="{00000000-0005-0000-0000-00001F000000}"/>
    <cellStyle name="Separador de milhares 14" xfId="29" xr:uid="{00000000-0005-0000-0000-000020000000}"/>
    <cellStyle name="Separador de milhares 2" xfId="30" xr:uid="{00000000-0005-0000-0000-000021000000}"/>
    <cellStyle name="Separador de milhares 3" xfId="31" xr:uid="{00000000-0005-0000-0000-000022000000}"/>
    <cellStyle name="Separador de milhares 4" xfId="32" xr:uid="{00000000-0005-0000-0000-000023000000}"/>
    <cellStyle name="Separador de milhares 5" xfId="33" xr:uid="{00000000-0005-0000-0000-000024000000}"/>
    <cellStyle name="Separador de milhares 6" xfId="34" xr:uid="{00000000-0005-0000-0000-000025000000}"/>
    <cellStyle name="Separador de milhares 7" xfId="35" xr:uid="{00000000-0005-0000-0000-000026000000}"/>
    <cellStyle name="Separador de milhares 8" xfId="36" xr:uid="{00000000-0005-0000-0000-000027000000}"/>
    <cellStyle name="Separador de milhares 9" xfId="37" xr:uid="{00000000-0005-0000-0000-000028000000}"/>
    <cellStyle name="Vírgula" xfId="3" builtinId="3"/>
    <cellStyle name="Vírgula 2" xfId="38" xr:uid="{00000000-0005-0000-0000-00002A000000}"/>
    <cellStyle name="Vírgula 3" xfId="43" xr:uid="{4F3895D4-6229-4298-B35E-B49E4E59968A}"/>
    <cellStyle name="Vírgula 3 2" xfId="44" xr:uid="{557BA65A-AF08-49D5-8EE9-5A7474532820}"/>
  </cellStyles>
  <dxfs count="0"/>
  <tableStyles count="0" defaultTableStyle="TableStyleMedium2" defaultPivotStyle="PivotStyleLight16"/>
  <colors>
    <mruColors>
      <color rgb="FFD438C1"/>
      <color rgb="FFFD11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2</xdr:col>
      <xdr:colOff>161296</xdr:colOff>
      <xdr:row>71</xdr:row>
      <xdr:rowOff>46931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262D0C-6BE3-42F1-84A5-ECC8A08CA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34150"/>
          <a:ext cx="5028571" cy="5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perepi.com.br/capacete-de-seguranca-delta-plus-beryl-classe-b-com-suspensao-6-pontos-ca-29792" TargetMode="External"/><Relationship Id="rId18" Type="http://schemas.openxmlformats.org/officeDocument/2006/relationships/hyperlink" Target="https://www.amazon.com.br/ENXADA-RAMADA-LARGA-CABO-MADEIRA" TargetMode="External"/><Relationship Id="rId26" Type="http://schemas.openxmlformats.org/officeDocument/2006/relationships/hyperlink" Target="https://www.amazon.com.br/Tesoura-Tramontina-Cerca-Viva-Madeira-78330125" TargetMode="External"/><Relationship Id="rId21" Type="http://schemas.openxmlformats.org/officeDocument/2006/relationships/hyperlink" Target="https://www.mercadolivre.com.br/lixeira-contentor-plastica-120-litros-tipo-gari" TargetMode="External"/><Relationship Id="rId34" Type="http://schemas.openxmlformats.org/officeDocument/2006/relationships/hyperlink" Target="https://www.queroquero.com.br/cal-pintura-cerro-branco-com-fixador-8kg" TargetMode="External"/><Relationship Id="rId7" Type="http://schemas.openxmlformats.org/officeDocument/2006/relationships/hyperlink" Target="https://sinecarga.org.br/wp/wp-content/uploads/2025/05/ACT-2025-registrada.pdf" TargetMode="External"/><Relationship Id="rId12" Type="http://schemas.openxmlformats.org/officeDocument/2006/relationships/hyperlink" Target="https://www.superepi.com.br/capa-de-chuva-em-pvc-maicol-p1046442" TargetMode="External"/><Relationship Id="rId17" Type="http://schemas.openxmlformats.org/officeDocument/2006/relationships/hyperlink" Target="https://www.mercadolivre.com.br/rocadeira-a-gasolina-costal-profissional-63cc-3hp-nakasaki/p/MLB21419883" TargetMode="External"/><Relationship Id="rId25" Type="http://schemas.openxmlformats.org/officeDocument/2006/relationships/hyperlink" Target="https://www.amazon.com.br/Serrote-Tripla-Afia%C3%A7%C3%A3o-Vonder-VDO899" TargetMode="External"/><Relationship Id="rId33" Type="http://schemas.openxmlformats.org/officeDocument/2006/relationships/hyperlink" Target="https://produto.mercadolivre.com.br/MLB-3000813225-saco-de-lixo-150-litros-pacote-c-100-unidades-reforcado-08-_JM" TargetMode="External"/><Relationship Id="rId38" Type="http://schemas.openxmlformats.org/officeDocument/2006/relationships/hyperlink" Target="https://sindirodosul.org.br/wp-content/uploads/2025/05/CONVENCAO-SEMELHANTE-AS-URBANAS-2024.2025REGISTRADA.pdf" TargetMode="External"/><Relationship Id="rId2" Type="http://schemas.openxmlformats.org/officeDocument/2006/relationships/hyperlink" Target="https://produto.mercadolivre.com.br/MLB-1103480441-calca-brim-uniforme-profissional-cinza-ou-azul-100algodo-_JM" TargetMode="External"/><Relationship Id="rId16" Type="http://schemas.openxmlformats.org/officeDocument/2006/relationships/hyperlink" Target="https://caminhao.mercadolivre.com.br/MLB-4755299052-ford-cargo-816-s-" TargetMode="External"/><Relationship Id="rId20" Type="http://schemas.openxmlformats.org/officeDocument/2006/relationships/hyperlink" Target="https://cesconstrucao.com.br/vassoura-de-aco-carbono-p-grama-jardim-regulavel-18-dentes-max." TargetMode="External"/><Relationship Id="rId29" Type="http://schemas.openxmlformats.org/officeDocument/2006/relationships/hyperlink" Target="https://www.amazon.com.br/Soprador-Lateral-Gasolina-Carbon-Fak/" TargetMode="External"/><Relationship Id="rId1" Type="http://schemas.openxmlformats.org/officeDocument/2006/relationships/hyperlink" Target="https://valor.globo.com/brasil/artigo/salario-minimo-2025-veja-o-valor.ghtml" TargetMode="External"/><Relationship Id="rId6" Type="http://schemas.openxmlformats.org/officeDocument/2006/relationships/hyperlink" Target="https://seeac-rs.com.br/arquivos/20252.pdf" TargetMode="External"/><Relationship Id="rId11" Type="http://schemas.openxmlformats.org/officeDocument/2006/relationships/hyperlink" Target="https://www.superepi.com.br/bone-arabe-com-aba-cor-verde-fechamento-em-velcro-marca-brascamp-p1068701" TargetMode="External"/><Relationship Id="rId24" Type="http://schemas.openxmlformats.org/officeDocument/2006/relationships/hyperlink" Target="https://www.amazon.com.br/Fac%C3%A3o-Granel-Corneta-7875112-Preto" TargetMode="External"/><Relationship Id="rId32" Type="http://schemas.openxmlformats.org/officeDocument/2006/relationships/hyperlink" Target="https://www.mercadolivre.com.br/balde-de-plastico-com-alca-aco-12-litros-concreto" TargetMode="External"/><Relationship Id="rId37" Type="http://schemas.openxmlformats.org/officeDocument/2006/relationships/hyperlink" Target="https://seeac-rs.com.br/arquivos/20252.pdf" TargetMode="External"/><Relationship Id="rId5" Type="http://schemas.openxmlformats.org/officeDocument/2006/relationships/hyperlink" Target="https://www.superepi.com.br/oculos-rio-de-janeiro-poli-fer-incolor-com-ajuste-ca-34082" TargetMode="External"/><Relationship Id="rId15" Type="http://schemas.openxmlformats.org/officeDocument/2006/relationships/hyperlink" Target="https://mg.olx.com.br/regiao-de-pocos-de-caldas-e-varginha/autos-e-pecas/carros-vans-e-utilitarios/kombi-furgao-refrigerada-1389183033?lis=listing_no_category" TargetMode="External"/><Relationship Id="rId23" Type="http://schemas.openxmlformats.org/officeDocument/2006/relationships/hyperlink" Target="https://produto.mercadolivre.com.br/MLB-3713411602-pa-concha-com-bico-tramontina-aco-com-cabo-empunhadura-_JM" TargetMode="External"/><Relationship Id="rId28" Type="http://schemas.openxmlformats.org/officeDocument/2006/relationships/hyperlink" Target="https://www.petz.com.br/produto/vassoura-tramontina-22-dentes-com-cabo-120cm" TargetMode="External"/><Relationship Id="rId36" Type="http://schemas.openxmlformats.org/officeDocument/2006/relationships/hyperlink" Target="https://www.zuldigital.com.br/blog/licenciamento-rs-2025-valor-crlv" TargetMode="External"/><Relationship Id="rId10" Type="http://schemas.openxmlformats.org/officeDocument/2006/relationships/hyperlink" Target="https://produto.mercadolivre.com.br/MLB-1392327752-botina-seguranca-elastico-bico-pvc-marluvas-vulcaflex-_JM" TargetMode="External"/><Relationship Id="rId19" Type="http://schemas.openxmlformats.org/officeDocument/2006/relationships/hyperlink" Target="https://produto.mercadolivre.com.br/MLB-5144121428-carrinho-de-mo-multiuso-vermelho-para-pedreiro" TargetMode="External"/><Relationship Id="rId31" Type="http://schemas.openxmlformats.org/officeDocument/2006/relationships/hyperlink" Target="https://produto.mercadolivre.com.br/MLB-3914640649-broxa-retangular-trincha-pincel-de-parede" TargetMode="External"/><Relationship Id="rId4" Type="http://schemas.openxmlformats.org/officeDocument/2006/relationships/hyperlink" Target="https://www.wfepi.com.br/vestimentas-de-protecao/camiseta-manga-curta-algodao-penteado-100-algodao" TargetMode="External"/><Relationship Id="rId9" Type="http://schemas.openxmlformats.org/officeDocument/2006/relationships/hyperlink" Target="https://www.episonline.com.br/camiseta-preta-manga-longa-uv-fps-50-maicol-p9389" TargetMode="External"/><Relationship Id="rId14" Type="http://schemas.openxmlformats.org/officeDocument/2006/relationships/hyperlink" Target="https://veiculo.mercadolivre.com.br/MLB-5335963790-nibus-urbano-mercedes-benz-1519-caio-foz-41-lugar-ano-2015" TargetMode="External"/><Relationship Id="rId22" Type="http://schemas.openxmlformats.org/officeDocument/2006/relationships/hyperlink" Target="https://produto.mercadolivre.com.br/MLB-5127807702-pa-cortadeira-forjada-vanga-bico-ponta-com-cabo-1mt-pandolfo-_JM" TargetMode="External"/><Relationship Id="rId27" Type="http://schemas.openxmlformats.org/officeDocument/2006/relationships/hyperlink" Target="https://produto.mercadolivre.com.br/MLB-3266051791-vassoura-tipo-gari-piacava-60cm-com-cabo-gigante-_JM" TargetMode="External"/><Relationship Id="rId30" Type="http://schemas.openxmlformats.org/officeDocument/2006/relationships/hyperlink" Target="https://www.mercadolivre.com.br/foice-reforcada-em-aco-carbono-sem-cabo-tramontina" TargetMode="External"/><Relationship Id="rId35" Type="http://schemas.openxmlformats.org/officeDocument/2006/relationships/hyperlink" Target="https://www.genebraseguros.com.br/faq-items/qual-e-o-valor-do-seguro-contra-terceiros" TargetMode="External"/><Relationship Id="rId8" Type="http://schemas.openxmlformats.org/officeDocument/2006/relationships/hyperlink" Target="https://sinecarga.org.br/wp/wp-content/uploads/2025/05/ACT-2025-registrada.pdf" TargetMode="External"/><Relationship Id="rId3" Type="http://schemas.openxmlformats.org/officeDocument/2006/relationships/hyperlink" Target="https://produto.mercadolivre.com.br/MLB-3144184245-jaqueta-com-refletivo-2-bolsos-laterais-forrada-manta-grossa-_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6"/>
  <sheetViews>
    <sheetView tabSelected="1" topLeftCell="A136" zoomScale="80" zoomScaleNormal="80" zoomScaleSheetLayoutView="100" workbookViewId="0">
      <selection activeCell="A233" sqref="A233"/>
    </sheetView>
  </sheetViews>
  <sheetFormatPr defaultColWidth="9.140625" defaultRowHeight="12.75" x14ac:dyDescent="0.2"/>
  <cols>
    <col min="1" max="1" width="61.85546875" style="5" customWidth="1"/>
    <col min="2" max="2" width="16" style="5" bestFit="1" customWidth="1"/>
    <col min="3" max="3" width="14.5703125" style="5" customWidth="1"/>
    <col min="4" max="4" width="18.28515625" style="6" bestFit="1" customWidth="1"/>
    <col min="5" max="5" width="17" style="6" customWidth="1"/>
    <col min="6" max="6" width="28.140625" style="6" customWidth="1"/>
    <col min="7" max="7" width="23.85546875" style="5" hidden="1" customWidth="1"/>
    <col min="8" max="8" width="14.5703125" style="5" customWidth="1"/>
    <col min="9" max="9" width="13.42578125" style="5" customWidth="1"/>
    <col min="10" max="10" width="10.5703125" style="5" bestFit="1" customWidth="1"/>
    <col min="11" max="16384" width="9.140625" style="5"/>
  </cols>
  <sheetData>
    <row r="1" spans="1:6" s="1" customFormat="1" ht="21.75" customHeight="1" thickBot="1" x14ac:dyDescent="0.25">
      <c r="A1" s="292" t="s">
        <v>46</v>
      </c>
      <c r="B1" s="292"/>
      <c r="C1" s="292"/>
      <c r="D1" s="292"/>
      <c r="E1" s="292"/>
      <c r="F1" s="2"/>
    </row>
    <row r="2" spans="1:6" s="4" customFormat="1" ht="18" x14ac:dyDescent="0.2">
      <c r="A2" s="296" t="s">
        <v>106</v>
      </c>
      <c r="B2" s="297"/>
      <c r="C2" s="297"/>
      <c r="D2" s="297"/>
      <c r="E2" s="297"/>
      <c r="F2" s="16"/>
    </row>
    <row r="3" spans="1:6" s="1" customFormat="1" ht="13.5" thickBot="1" x14ac:dyDescent="0.25">
      <c r="A3" s="32"/>
      <c r="B3" s="33"/>
      <c r="C3" s="33"/>
      <c r="D3" s="34"/>
      <c r="E3" s="34"/>
      <c r="F3" s="2"/>
    </row>
    <row r="4" spans="1:6" s="1" customFormat="1" ht="15.75" customHeight="1" thickBot="1" x14ac:dyDescent="0.25">
      <c r="A4" s="293" t="s">
        <v>14</v>
      </c>
      <c r="B4" s="294"/>
      <c r="C4" s="294"/>
      <c r="D4" s="294"/>
      <c r="E4" s="295"/>
      <c r="F4" s="2"/>
    </row>
    <row r="5" spans="1:6" s="1" customFormat="1" ht="15.75" customHeight="1" x14ac:dyDescent="0.2">
      <c r="A5" s="298" t="s">
        <v>42</v>
      </c>
      <c r="B5" s="299"/>
      <c r="C5" s="299"/>
      <c r="D5" s="151" t="s">
        <v>10</v>
      </c>
      <c r="E5" s="172" t="s">
        <v>1</v>
      </c>
    </row>
    <row r="6" spans="1:6" s="7" customFormat="1" ht="15.75" customHeight="1" x14ac:dyDescent="0.2">
      <c r="A6" s="285" t="str">
        <f>A28</f>
        <v>1. Mão-de-obra</v>
      </c>
      <c r="B6" s="286"/>
      <c r="C6" s="286"/>
      <c r="D6" s="265">
        <f>+E97</f>
        <v>238176.03157100003</v>
      </c>
      <c r="E6" s="173">
        <f>D6/$E$220</f>
        <v>0.76625399515188308</v>
      </c>
    </row>
    <row r="7" spans="1:6" s="1" customFormat="1" ht="15.75" customHeight="1" x14ac:dyDescent="0.2">
      <c r="A7" s="300" t="str">
        <f>A29</f>
        <v>1.1. Coordenador Geral (Secretariado Executivo Terceirizado)</v>
      </c>
      <c r="B7" s="301"/>
      <c r="C7" s="301"/>
      <c r="D7" s="266">
        <f>E36</f>
        <v>7013.8229439999996</v>
      </c>
      <c r="E7" s="174">
        <f>D7/$E$220</f>
        <v>2.2564696441866143E-2</v>
      </c>
    </row>
    <row r="8" spans="1:6" s="1" customFormat="1" ht="15.75" customHeight="1" x14ac:dyDescent="0.2">
      <c r="A8" s="300" t="str">
        <f>A38</f>
        <v>1.2. Profissionais Serviços Gerais  (Limpeza Urbana)</v>
      </c>
      <c r="B8" s="301"/>
      <c r="C8" s="301"/>
      <c r="D8" s="266">
        <f>E45</f>
        <v>186031.44441</v>
      </c>
      <c r="E8" s="174">
        <f>D8/$E$220</f>
        <v>0.59849572840222898</v>
      </c>
    </row>
    <row r="9" spans="1:6" s="1" customFormat="1" ht="15.75" customHeight="1" x14ac:dyDescent="0.2">
      <c r="A9" s="300" t="str">
        <f>A47</f>
        <v>1.3. Motorista Ônibus</v>
      </c>
      <c r="B9" s="301"/>
      <c r="C9" s="301"/>
      <c r="D9" s="266">
        <f>E54</f>
        <v>6640.3205539999999</v>
      </c>
      <c r="E9" s="174">
        <f>D9/$E$220</f>
        <v>2.1363073857727313E-2</v>
      </c>
    </row>
    <row r="10" spans="1:6" s="1" customFormat="1" ht="15.75" customHeight="1" x14ac:dyDescent="0.2">
      <c r="A10" s="300" t="str">
        <f>A56</f>
        <v>1.4. Motorista Kombi</v>
      </c>
      <c r="B10" s="301"/>
      <c r="C10" s="301"/>
      <c r="D10" s="266">
        <f>E63</f>
        <v>4146.8021429999999</v>
      </c>
      <c r="E10" s="174">
        <f>D10/$E$220</f>
        <v>1.3340988546242235E-2</v>
      </c>
    </row>
    <row r="11" spans="1:6" s="1" customFormat="1" ht="15.75" customHeight="1" x14ac:dyDescent="0.2">
      <c r="A11" s="300" t="str">
        <f>A65</f>
        <v>1.5. Motorista Caminhão</v>
      </c>
      <c r="B11" s="301"/>
      <c r="C11" s="301"/>
      <c r="D11" s="266">
        <f>E72</f>
        <v>4763.82672</v>
      </c>
      <c r="E11" s="174">
        <f>D11/$E$220</f>
        <v>1.5326064643591731E-2</v>
      </c>
    </row>
    <row r="12" spans="1:6" s="1" customFormat="1" ht="15.75" customHeight="1" x14ac:dyDescent="0.2">
      <c r="A12" s="300" t="str">
        <f>A74</f>
        <v>1.6. Auxílio Alimentação/Refeição (incluindo sábados)</v>
      </c>
      <c r="B12" s="301"/>
      <c r="C12" s="301"/>
      <c r="D12" s="266">
        <f>E81+E82</f>
        <v>27750.314800000004</v>
      </c>
      <c r="E12" s="174">
        <f>D12/$E$220</f>
        <v>8.927762143809051E-2</v>
      </c>
    </row>
    <row r="13" spans="1:6" s="1" customFormat="1" ht="15.75" customHeight="1" x14ac:dyDescent="0.2">
      <c r="A13" s="300" t="str">
        <f>A84</f>
        <v>1.7. Auxílio Cesta Básica</v>
      </c>
      <c r="B13" s="301"/>
      <c r="C13" s="301"/>
      <c r="D13" s="266">
        <f>E91</f>
        <v>696.8</v>
      </c>
      <c r="E13" s="174">
        <f>D13/$E$220</f>
        <v>2.2417276008004582E-3</v>
      </c>
    </row>
    <row r="14" spans="1:6" s="1" customFormat="1" ht="15.75" customHeight="1" x14ac:dyDescent="0.2">
      <c r="A14" s="300" t="str">
        <f>A93</f>
        <v xml:space="preserve">1.8. Plano de Benefício Social  </v>
      </c>
      <c r="B14" s="301"/>
      <c r="C14" s="301"/>
      <c r="D14" s="266">
        <f>E95</f>
        <v>1132.7</v>
      </c>
      <c r="E14" s="174">
        <f>D14/$E$220</f>
        <v>3.6440942213356478E-3</v>
      </c>
    </row>
    <row r="15" spans="1:6" s="7" customFormat="1" ht="15.75" customHeight="1" x14ac:dyDescent="0.2">
      <c r="A15" s="285" t="str">
        <f>A99</f>
        <v>2. Uniformes e Equipamentos de Proteção Individual</v>
      </c>
      <c r="B15" s="286"/>
      <c r="C15" s="286"/>
      <c r="D15" s="265">
        <f>+E130</f>
        <v>3702.3416666666662</v>
      </c>
      <c r="E15" s="173">
        <f>D15/$E$220</f>
        <v>1.1911081374512396E-2</v>
      </c>
    </row>
    <row r="16" spans="1:6" s="7" customFormat="1" ht="15.75" customHeight="1" x14ac:dyDescent="0.2">
      <c r="A16" s="300" t="str">
        <f>A100</f>
        <v>2.1. Uniformes e EPIs - Corrdenador e Auxiliar de Serviços Gerais</v>
      </c>
      <c r="B16" s="301"/>
      <c r="C16" s="301"/>
      <c r="D16" s="267">
        <f>E115</f>
        <v>3550.8891666666664</v>
      </c>
      <c r="E16" s="174">
        <f>D16/$E$220</f>
        <v>1.1423832164609652E-2</v>
      </c>
    </row>
    <row r="17" spans="1:7" s="7" customFormat="1" ht="15.75" customHeight="1" x14ac:dyDescent="0.2">
      <c r="A17" s="300" t="str">
        <f>A117</f>
        <v>2.2. Uniformes e EPIs - Motoristas</v>
      </c>
      <c r="B17" s="301"/>
      <c r="C17" s="301"/>
      <c r="D17" s="267">
        <f>E128</f>
        <v>151.45250000000001</v>
      </c>
      <c r="E17" s="174">
        <f>D17/$E$220</f>
        <v>4.8724920990274323E-4</v>
      </c>
    </row>
    <row r="18" spans="1:7" s="7" customFormat="1" ht="15.75" customHeight="1" x14ac:dyDescent="0.2">
      <c r="A18" s="285" t="str">
        <f>A132</f>
        <v xml:space="preserve">3. Veículos, Equipamentos/Ferramentas </v>
      </c>
      <c r="B18" s="286"/>
      <c r="C18" s="286"/>
      <c r="D18" s="265">
        <f>E210</f>
        <v>12505.536666666667</v>
      </c>
      <c r="E18" s="173">
        <f>D18/$E$220</f>
        <v>4.0232501016775016E-2</v>
      </c>
    </row>
    <row r="19" spans="1:7" s="7" customFormat="1" ht="15.75" customHeight="1" x14ac:dyDescent="0.2">
      <c r="A19" s="300" t="str">
        <f>A172</f>
        <v>3.1 Total Veículos e Ferramentas (mensal)</v>
      </c>
      <c r="B19" s="301"/>
      <c r="C19" s="301"/>
      <c r="D19" s="267">
        <f>E172</f>
        <v>6474.5050000000001</v>
      </c>
      <c r="E19" s="174">
        <f>D19/$E$220</f>
        <v>2.0829616188318849E-2</v>
      </c>
    </row>
    <row r="20" spans="1:7" s="7" customFormat="1" ht="15.75" customHeight="1" x14ac:dyDescent="0.2">
      <c r="A20" s="300" t="str">
        <f>A197</f>
        <v>3.2 Total Consumos Veículos (mensal)</v>
      </c>
      <c r="B20" s="301"/>
      <c r="C20" s="301"/>
      <c r="D20" s="267">
        <f>E197</f>
        <v>1421.3333333333333</v>
      </c>
      <c r="E20" s="174">
        <f>D20/$E$220</f>
        <v>4.5726781906875024E-3</v>
      </c>
    </row>
    <row r="21" spans="1:7" s="7" customFormat="1" ht="15.75" customHeight="1" x14ac:dyDescent="0.2">
      <c r="A21" s="300" t="str">
        <f>A206</f>
        <v>3.3 Total Impostos e Seguros (mensal)</v>
      </c>
      <c r="B21" s="301"/>
      <c r="C21" s="301"/>
      <c r="D21" s="267">
        <f>E206</f>
        <v>2199.7483333333334</v>
      </c>
      <c r="E21" s="174">
        <f>D21/$E$220</f>
        <v>7.0769755362344155E-3</v>
      </c>
    </row>
    <row r="22" spans="1:7" s="7" customFormat="1" ht="15.75" customHeight="1" x14ac:dyDescent="0.2">
      <c r="A22" s="300" t="str">
        <f>A208</f>
        <v>3.4 Remuneração do Capital Investido</v>
      </c>
      <c r="B22" s="301"/>
      <c r="C22" s="301"/>
      <c r="D22" s="267">
        <f>E208</f>
        <v>2409.9499999999998</v>
      </c>
      <c r="E22" s="174">
        <f>D22/$E$220</f>
        <v>7.7532311015342491E-3</v>
      </c>
    </row>
    <row r="23" spans="1:7" s="7" customFormat="1" ht="15.75" customHeight="1" x14ac:dyDescent="0.2">
      <c r="A23" s="285" t="str">
        <f>A214</f>
        <v>4. Benefícios e Despesas Indiretas</v>
      </c>
      <c r="B23" s="286"/>
      <c r="C23" s="286"/>
      <c r="D23" s="265">
        <f>E218</f>
        <v>56447.78960777157</v>
      </c>
      <c r="E23" s="173">
        <f>D23/$E$220</f>
        <v>0.18160242245682953</v>
      </c>
    </row>
    <row r="24" spans="1:7" s="1" customFormat="1" ht="15.75" customHeight="1" thickBot="1" x14ac:dyDescent="0.25">
      <c r="A24" s="287" t="s">
        <v>57</v>
      </c>
      <c r="B24" s="288"/>
      <c r="C24" s="288"/>
      <c r="D24" s="171">
        <f>D6+D15+D18+D23</f>
        <v>310831.69951210491</v>
      </c>
      <c r="E24" s="175">
        <f>D24/$E$220</f>
        <v>1</v>
      </c>
    </row>
    <row r="25" spans="1:7" s="1" customFormat="1" ht="15.75" customHeight="1" x14ac:dyDescent="0.2">
      <c r="A25" s="77"/>
      <c r="B25" s="78"/>
      <c r="C25" s="15"/>
      <c r="D25" s="15"/>
      <c r="E25" s="79"/>
      <c r="F25" s="2"/>
    </row>
    <row r="26" spans="1:7" s="1" customFormat="1" ht="15.75" customHeight="1" x14ac:dyDescent="0.2">
      <c r="A26" s="18" t="s">
        <v>107</v>
      </c>
      <c r="B26" s="19"/>
      <c r="C26" s="19"/>
      <c r="D26" s="5"/>
      <c r="E26" s="24"/>
      <c r="F26" s="2"/>
    </row>
    <row r="27" spans="1:7" s="1" customFormat="1" ht="15.75" customHeight="1" x14ac:dyDescent="0.2">
      <c r="A27" s="18"/>
      <c r="B27" s="19"/>
      <c r="C27" s="19"/>
      <c r="D27" s="5"/>
      <c r="E27" s="24"/>
      <c r="F27" s="2"/>
    </row>
    <row r="28" spans="1:7" ht="13.15" customHeight="1" x14ac:dyDescent="0.2">
      <c r="A28" s="7" t="s">
        <v>16</v>
      </c>
    </row>
    <row r="29" spans="1:7" ht="13.9" customHeight="1" thickBot="1" x14ac:dyDescent="0.25">
      <c r="A29" s="302" t="s">
        <v>253</v>
      </c>
      <c r="B29" s="302"/>
      <c r="C29" s="302"/>
      <c r="D29" s="302"/>
      <c r="E29" s="302"/>
    </row>
    <row r="30" spans="1:7" ht="13.9" customHeight="1" thickBot="1" x14ac:dyDescent="0.25">
      <c r="A30" s="20" t="s">
        <v>18</v>
      </c>
      <c r="B30" s="21" t="s">
        <v>19</v>
      </c>
      <c r="C30" s="21" t="s">
        <v>11</v>
      </c>
      <c r="D30" s="22" t="s">
        <v>44</v>
      </c>
      <c r="E30" s="23" t="s">
        <v>116</v>
      </c>
    </row>
    <row r="31" spans="1:7" x14ac:dyDescent="0.2">
      <c r="A31" s="152" t="s">
        <v>43</v>
      </c>
      <c r="B31" s="9" t="s">
        <v>6</v>
      </c>
      <c r="C31" s="9">
        <v>1</v>
      </c>
      <c r="D31" s="149">
        <v>3788.24</v>
      </c>
      <c r="E31" s="153">
        <f>C31*D31</f>
        <v>3788.24</v>
      </c>
    </row>
    <row r="32" spans="1:7" x14ac:dyDescent="0.2">
      <c r="A32" s="154" t="s">
        <v>0</v>
      </c>
      <c r="B32" s="11" t="s">
        <v>1</v>
      </c>
      <c r="C32" s="68">
        <v>20</v>
      </c>
      <c r="D32" s="69">
        <v>1518</v>
      </c>
      <c r="E32" s="155">
        <f>C32*D32/100</f>
        <v>303.60000000000002</v>
      </c>
      <c r="G32" s="54" t="s">
        <v>43</v>
      </c>
    </row>
    <row r="33" spans="1:9" x14ac:dyDescent="0.2">
      <c r="A33" s="152" t="s">
        <v>2</v>
      </c>
      <c r="B33" s="157"/>
      <c r="C33" s="157"/>
      <c r="D33" s="165"/>
      <c r="E33" s="166">
        <f>E31+E32</f>
        <v>4091.8399999999997</v>
      </c>
      <c r="G33" s="76" t="s">
        <v>2</v>
      </c>
    </row>
    <row r="34" spans="1:9" x14ac:dyDescent="0.2">
      <c r="A34" s="154" t="s">
        <v>3</v>
      </c>
      <c r="B34" s="11" t="s">
        <v>1</v>
      </c>
      <c r="C34" s="128">
        <v>71.41</v>
      </c>
      <c r="D34" s="70">
        <f>E33</f>
        <v>4091.8399999999997</v>
      </c>
      <c r="E34" s="159">
        <f>D34*C34/100</f>
        <v>2921.9829439999994</v>
      </c>
      <c r="G34" s="53" t="s">
        <v>3</v>
      </c>
      <c r="H34" s="83"/>
    </row>
    <row r="35" spans="1:9" ht="13.5" thickBot="1" x14ac:dyDescent="0.25">
      <c r="A35" s="156" t="s">
        <v>60</v>
      </c>
      <c r="B35" s="157"/>
      <c r="C35" s="157"/>
      <c r="D35" s="158"/>
      <c r="E35" s="160">
        <f>E33+E34</f>
        <v>7013.8229439999996</v>
      </c>
      <c r="G35" s="76" t="s">
        <v>58</v>
      </c>
    </row>
    <row r="36" spans="1:9" ht="13.5" thickBot="1" x14ac:dyDescent="0.25">
      <c r="A36" s="169" t="s">
        <v>117</v>
      </c>
      <c r="B36" s="161" t="s">
        <v>5</v>
      </c>
      <c r="C36" s="162">
        <v>1</v>
      </c>
      <c r="D36" s="163">
        <f>E35</f>
        <v>7013.8229439999996</v>
      </c>
      <c r="E36" s="71">
        <f>C36*D36</f>
        <v>7013.8229439999996</v>
      </c>
      <c r="F36" s="2"/>
      <c r="G36" s="53" t="s">
        <v>4</v>
      </c>
    </row>
    <row r="37" spans="1:9" ht="13.9" customHeight="1" x14ac:dyDescent="0.2">
      <c r="A37" s="280"/>
      <c r="B37" s="281"/>
      <c r="C37" s="281"/>
      <c r="D37" s="281"/>
      <c r="E37" s="65"/>
      <c r="F37" s="2"/>
      <c r="H37" s="83"/>
      <c r="I37" s="3"/>
    </row>
    <row r="38" spans="1:9" ht="13.5" thickBot="1" x14ac:dyDescent="0.25">
      <c r="A38" s="7" t="s">
        <v>254</v>
      </c>
    </row>
    <row r="39" spans="1:9" s="8" customFormat="1" ht="13.15" customHeight="1" thickBot="1" x14ac:dyDescent="0.25">
      <c r="A39" s="20" t="s">
        <v>18</v>
      </c>
      <c r="B39" s="21" t="s">
        <v>19</v>
      </c>
      <c r="C39" s="21" t="s">
        <v>11</v>
      </c>
      <c r="D39" s="22" t="s">
        <v>44</v>
      </c>
      <c r="E39" s="23" t="s">
        <v>116</v>
      </c>
      <c r="F39" s="6"/>
    </row>
    <row r="40" spans="1:9" x14ac:dyDescent="0.2">
      <c r="A40" s="152" t="s">
        <v>43</v>
      </c>
      <c r="B40" s="9" t="s">
        <v>6</v>
      </c>
      <c r="C40" s="9">
        <v>1</v>
      </c>
      <c r="D40" s="150">
        <v>1685.25</v>
      </c>
      <c r="E40" s="164">
        <f>C40*D40</f>
        <v>1685.25</v>
      </c>
    </row>
    <row r="41" spans="1:9" x14ac:dyDescent="0.2">
      <c r="A41" s="154" t="s">
        <v>0</v>
      </c>
      <c r="B41" s="11" t="s">
        <v>1</v>
      </c>
      <c r="C41" s="68">
        <v>40</v>
      </c>
      <c r="D41" s="69">
        <f>E40</f>
        <v>1685.25</v>
      </c>
      <c r="E41" s="155">
        <f>C41*D41/100</f>
        <v>674.1</v>
      </c>
    </row>
    <row r="42" spans="1:9" s="7" customFormat="1" x14ac:dyDescent="0.2">
      <c r="A42" s="152" t="s">
        <v>2</v>
      </c>
      <c r="B42" s="157"/>
      <c r="C42" s="157"/>
      <c r="D42" s="165"/>
      <c r="E42" s="166">
        <f>E40+E41</f>
        <v>2359.35</v>
      </c>
      <c r="F42" s="17"/>
    </row>
    <row r="43" spans="1:9" x14ac:dyDescent="0.2">
      <c r="A43" s="154" t="s">
        <v>3</v>
      </c>
      <c r="B43" s="11" t="s">
        <v>1</v>
      </c>
      <c r="C43" s="128">
        <v>71.41</v>
      </c>
      <c r="D43" s="72">
        <f>E42</f>
        <v>2359.35</v>
      </c>
      <c r="E43" s="167">
        <f>D43*C43/100</f>
        <v>1684.8118349999997</v>
      </c>
      <c r="F43" s="55"/>
    </row>
    <row r="44" spans="1:9" s="7" customFormat="1" ht="13.5" thickBot="1" x14ac:dyDescent="0.25">
      <c r="A44" s="154" t="s">
        <v>68</v>
      </c>
      <c r="B44" s="52"/>
      <c r="C44" s="52"/>
      <c r="D44" s="73"/>
      <c r="E44" s="167">
        <f>E42+E43</f>
        <v>4044.1618349999999</v>
      </c>
      <c r="F44" s="17"/>
    </row>
    <row r="45" spans="1:9" ht="13.5" thickBot="1" x14ac:dyDescent="0.25">
      <c r="A45" s="169" t="s">
        <v>117</v>
      </c>
      <c r="B45" s="161" t="s">
        <v>5</v>
      </c>
      <c r="C45" s="162">
        <v>46</v>
      </c>
      <c r="D45" s="170">
        <f>E44</f>
        <v>4044.1618349999999</v>
      </c>
      <c r="E45" s="71">
        <f>C45*D45</f>
        <v>186031.44441</v>
      </c>
    </row>
    <row r="46" spans="1:9" x14ac:dyDescent="0.2">
      <c r="A46" s="3"/>
      <c r="B46" s="3"/>
      <c r="C46" s="3"/>
      <c r="D46" s="3"/>
      <c r="E46" s="65"/>
      <c r="F46" s="2"/>
    </row>
    <row r="47" spans="1:9" ht="19.5" customHeight="1" thickBot="1" x14ac:dyDescent="0.25">
      <c r="A47" s="7" t="s">
        <v>255</v>
      </c>
      <c r="F47" s="2"/>
    </row>
    <row r="48" spans="1:9" ht="13.5" thickBot="1" x14ac:dyDescent="0.25">
      <c r="A48" s="20" t="s">
        <v>18</v>
      </c>
      <c r="B48" s="21" t="s">
        <v>19</v>
      </c>
      <c r="C48" s="21" t="s">
        <v>11</v>
      </c>
      <c r="D48" s="22" t="s">
        <v>44</v>
      </c>
      <c r="E48" s="23" t="s">
        <v>116</v>
      </c>
      <c r="F48" s="2"/>
    </row>
    <row r="49" spans="1:6" x14ac:dyDescent="0.2">
      <c r="A49" s="152" t="s">
        <v>43</v>
      </c>
      <c r="B49" s="9" t="s">
        <v>6</v>
      </c>
      <c r="C49" s="9">
        <v>1</v>
      </c>
      <c r="D49" s="150">
        <v>3570.34</v>
      </c>
      <c r="E49" s="164">
        <f>C49*D49</f>
        <v>3570.34</v>
      </c>
      <c r="F49" s="2"/>
    </row>
    <row r="50" spans="1:6" x14ac:dyDescent="0.2">
      <c r="A50" s="154" t="s">
        <v>0</v>
      </c>
      <c r="B50" s="11" t="s">
        <v>1</v>
      </c>
      <c r="C50" s="68">
        <v>20</v>
      </c>
      <c r="D50" s="69">
        <v>1518</v>
      </c>
      <c r="E50" s="155">
        <f>C50*D50/100</f>
        <v>303.60000000000002</v>
      </c>
      <c r="F50" s="2"/>
    </row>
    <row r="51" spans="1:6" x14ac:dyDescent="0.2">
      <c r="A51" s="152" t="s">
        <v>2</v>
      </c>
      <c r="B51" s="157"/>
      <c r="C51" s="157"/>
      <c r="D51" s="165"/>
      <c r="E51" s="166">
        <f>E49+E50</f>
        <v>3873.94</v>
      </c>
      <c r="F51" s="2"/>
    </row>
    <row r="52" spans="1:6" x14ac:dyDescent="0.2">
      <c r="A52" s="154" t="s">
        <v>3</v>
      </c>
      <c r="B52" s="11" t="s">
        <v>1</v>
      </c>
      <c r="C52" s="128">
        <v>71.41</v>
      </c>
      <c r="D52" s="72">
        <f>E51</f>
        <v>3873.94</v>
      </c>
      <c r="E52" s="167">
        <f>D52*C52/100</f>
        <v>2766.3805540000003</v>
      </c>
      <c r="F52" s="2"/>
    </row>
    <row r="53" spans="1:6" ht="13.5" thickBot="1" x14ac:dyDescent="0.25">
      <c r="A53" s="154" t="s">
        <v>68</v>
      </c>
      <c r="B53" s="52"/>
      <c r="C53" s="52"/>
      <c r="D53" s="73"/>
      <c r="E53" s="167">
        <f>E51+E52</f>
        <v>6640.3205539999999</v>
      </c>
      <c r="F53" s="2"/>
    </row>
    <row r="54" spans="1:6" ht="13.5" thickBot="1" x14ac:dyDescent="0.25">
      <c r="A54" s="169" t="s">
        <v>117</v>
      </c>
      <c r="B54" s="161" t="s">
        <v>5</v>
      </c>
      <c r="C54" s="162">
        <v>1</v>
      </c>
      <c r="D54" s="170">
        <f>E53</f>
        <v>6640.3205539999999</v>
      </c>
      <c r="E54" s="71">
        <f>C54*D54</f>
        <v>6640.3205539999999</v>
      </c>
      <c r="F54" s="2"/>
    </row>
    <row r="55" spans="1:6" x14ac:dyDescent="0.2">
      <c r="A55" s="3"/>
      <c r="B55" s="3"/>
      <c r="C55" s="3"/>
      <c r="D55" s="3"/>
      <c r="E55" s="65"/>
      <c r="F55" s="2"/>
    </row>
    <row r="56" spans="1:6" ht="13.5" thickBot="1" x14ac:dyDescent="0.25">
      <c r="A56" s="7" t="s">
        <v>256</v>
      </c>
      <c r="F56" s="2"/>
    </row>
    <row r="57" spans="1:6" ht="13.5" thickBot="1" x14ac:dyDescent="0.25">
      <c r="A57" s="20" t="s">
        <v>18</v>
      </c>
      <c r="B57" s="21" t="s">
        <v>19</v>
      </c>
      <c r="C57" s="21" t="s">
        <v>11</v>
      </c>
      <c r="D57" s="22" t="s">
        <v>44</v>
      </c>
      <c r="E57" s="23" t="s">
        <v>116</v>
      </c>
      <c r="F57" s="2"/>
    </row>
    <row r="58" spans="1:6" x14ac:dyDescent="0.2">
      <c r="A58" s="152" t="s">
        <v>43</v>
      </c>
      <c r="B58" s="9" t="s">
        <v>6</v>
      </c>
      <c r="C58" s="9">
        <v>1</v>
      </c>
      <c r="D58" s="150">
        <v>2115.63</v>
      </c>
      <c r="E58" s="164">
        <f>C58*D58</f>
        <v>2115.63</v>
      </c>
      <c r="F58" s="2"/>
    </row>
    <row r="59" spans="1:6" x14ac:dyDescent="0.2">
      <c r="A59" s="154" t="s">
        <v>0</v>
      </c>
      <c r="B59" s="11" t="s">
        <v>1</v>
      </c>
      <c r="C59" s="68">
        <v>20</v>
      </c>
      <c r="D59" s="69">
        <v>1518</v>
      </c>
      <c r="E59" s="155">
        <f>C59*D59/100</f>
        <v>303.60000000000002</v>
      </c>
      <c r="F59" s="2"/>
    </row>
    <row r="60" spans="1:6" x14ac:dyDescent="0.2">
      <c r="A60" s="152" t="s">
        <v>2</v>
      </c>
      <c r="B60" s="157"/>
      <c r="C60" s="157"/>
      <c r="D60" s="165"/>
      <c r="E60" s="166">
        <f>E58+E59</f>
        <v>2419.23</v>
      </c>
      <c r="F60" s="2"/>
    </row>
    <row r="61" spans="1:6" x14ac:dyDescent="0.2">
      <c r="A61" s="154" t="s">
        <v>3</v>
      </c>
      <c r="B61" s="11" t="s">
        <v>1</v>
      </c>
      <c r="C61" s="128">
        <v>71.41</v>
      </c>
      <c r="D61" s="72">
        <f>E60</f>
        <v>2419.23</v>
      </c>
      <c r="E61" s="167">
        <f>D61*C61/100</f>
        <v>1727.5721429999999</v>
      </c>
      <c r="F61" s="2"/>
    </row>
    <row r="62" spans="1:6" ht="13.5" thickBot="1" x14ac:dyDescent="0.25">
      <c r="A62" s="154" t="s">
        <v>68</v>
      </c>
      <c r="B62" s="52"/>
      <c r="C62" s="52"/>
      <c r="D62" s="73"/>
      <c r="E62" s="167">
        <f>E60+E61</f>
        <v>4146.8021429999999</v>
      </c>
      <c r="F62" s="2"/>
    </row>
    <row r="63" spans="1:6" ht="13.5" thickBot="1" x14ac:dyDescent="0.25">
      <c r="A63" s="169" t="s">
        <v>117</v>
      </c>
      <c r="B63" s="161" t="s">
        <v>5</v>
      </c>
      <c r="C63" s="162">
        <v>1</v>
      </c>
      <c r="D63" s="170">
        <f>E62</f>
        <v>4146.8021429999999</v>
      </c>
      <c r="E63" s="71">
        <f>C63*D63</f>
        <v>4146.8021429999999</v>
      </c>
      <c r="F63" s="2"/>
    </row>
    <row r="64" spans="1:6" x14ac:dyDescent="0.2">
      <c r="A64" s="3"/>
      <c r="B64" s="3"/>
      <c r="C64" s="3"/>
      <c r="D64" s="3"/>
      <c r="E64" s="65"/>
      <c r="F64" s="2"/>
    </row>
    <row r="65" spans="1:8" ht="13.5" thickBot="1" x14ac:dyDescent="0.25">
      <c r="A65" s="7" t="s">
        <v>257</v>
      </c>
      <c r="F65" s="2"/>
    </row>
    <row r="66" spans="1:8" ht="13.5" thickBot="1" x14ac:dyDescent="0.25">
      <c r="A66" s="20" t="s">
        <v>18</v>
      </c>
      <c r="B66" s="21" t="s">
        <v>19</v>
      </c>
      <c r="C66" s="21" t="s">
        <v>11</v>
      </c>
      <c r="D66" s="22" t="s">
        <v>44</v>
      </c>
      <c r="E66" s="23" t="s">
        <v>116</v>
      </c>
      <c r="F66" s="2"/>
    </row>
    <row r="67" spans="1:8" x14ac:dyDescent="0.2">
      <c r="A67" s="152" t="s">
        <v>43</v>
      </c>
      <c r="B67" s="9" t="s">
        <v>6</v>
      </c>
      <c r="C67" s="9">
        <v>1</v>
      </c>
      <c r="D67" s="150">
        <v>2475.6</v>
      </c>
      <c r="E67" s="164">
        <f>C67*D67</f>
        <v>2475.6</v>
      </c>
      <c r="F67" s="2"/>
    </row>
    <row r="68" spans="1:8" x14ac:dyDescent="0.2">
      <c r="A68" s="154" t="s">
        <v>0</v>
      </c>
      <c r="B68" s="11" t="s">
        <v>1</v>
      </c>
      <c r="C68" s="68">
        <v>20</v>
      </c>
      <c r="D68" s="69">
        <v>1518</v>
      </c>
      <c r="E68" s="155">
        <f>C68*D68/100</f>
        <v>303.60000000000002</v>
      </c>
      <c r="F68" s="2"/>
    </row>
    <row r="69" spans="1:8" x14ac:dyDescent="0.2">
      <c r="A69" s="152" t="s">
        <v>2</v>
      </c>
      <c r="B69" s="157"/>
      <c r="C69" s="157"/>
      <c r="D69" s="165"/>
      <c r="E69" s="166">
        <f>E67+E68</f>
        <v>2779.2</v>
      </c>
      <c r="F69" s="2"/>
    </row>
    <row r="70" spans="1:8" x14ac:dyDescent="0.2">
      <c r="A70" s="154" t="s">
        <v>3</v>
      </c>
      <c r="B70" s="11" t="s">
        <v>1</v>
      </c>
      <c r="C70" s="128">
        <v>71.41</v>
      </c>
      <c r="D70" s="72">
        <f>E69</f>
        <v>2779.2</v>
      </c>
      <c r="E70" s="167">
        <f>D70*C70/100</f>
        <v>1984.62672</v>
      </c>
      <c r="F70" s="2"/>
    </row>
    <row r="71" spans="1:8" ht="13.5" thickBot="1" x14ac:dyDescent="0.25">
      <c r="A71" s="154" t="s">
        <v>68</v>
      </c>
      <c r="B71" s="52"/>
      <c r="C71" s="52"/>
      <c r="D71" s="73"/>
      <c r="E71" s="167">
        <f>E69+E70</f>
        <v>4763.82672</v>
      </c>
      <c r="F71" s="2"/>
    </row>
    <row r="72" spans="1:8" ht="13.5" thickBot="1" x14ac:dyDescent="0.25">
      <c r="A72" s="169" t="s">
        <v>117</v>
      </c>
      <c r="B72" s="161" t="s">
        <v>5</v>
      </c>
      <c r="C72" s="162">
        <v>1</v>
      </c>
      <c r="D72" s="170">
        <f>E71</f>
        <v>4763.82672</v>
      </c>
      <c r="E72" s="71">
        <f>C72*D72</f>
        <v>4763.82672</v>
      </c>
      <c r="F72" s="2"/>
    </row>
    <row r="73" spans="1:8" x14ac:dyDescent="0.2">
      <c r="A73" s="3"/>
      <c r="B73" s="3"/>
      <c r="C73" s="3"/>
      <c r="D73" s="3"/>
      <c r="E73" s="65"/>
      <c r="F73" s="2"/>
    </row>
    <row r="74" spans="1:8" ht="11.25" customHeight="1" thickBot="1" x14ac:dyDescent="0.25">
      <c r="A74" s="7" t="s">
        <v>227</v>
      </c>
      <c r="B74" s="92"/>
      <c r="C74" s="3"/>
      <c r="D74" s="3"/>
      <c r="E74" s="93"/>
      <c r="F74" s="55"/>
      <c r="H74" s="80"/>
    </row>
    <row r="75" spans="1:8" ht="14.45" customHeight="1" thickBot="1" x14ac:dyDescent="0.25">
      <c r="A75" s="20" t="s">
        <v>18</v>
      </c>
      <c r="B75" s="21" t="s">
        <v>19</v>
      </c>
      <c r="C75" s="22" t="s">
        <v>44</v>
      </c>
      <c r="D75" s="22" t="s">
        <v>125</v>
      </c>
      <c r="E75" s="23" t="s">
        <v>116</v>
      </c>
      <c r="F75" s="55"/>
      <c r="H75" s="80"/>
    </row>
    <row r="76" spans="1:8" ht="14.45" customHeight="1" x14ac:dyDescent="0.2">
      <c r="A76" s="154" t="s">
        <v>118</v>
      </c>
      <c r="B76" s="87" t="s">
        <v>6</v>
      </c>
      <c r="C76" s="240">
        <f>26*25.42</f>
        <v>660.92000000000007</v>
      </c>
      <c r="D76" s="185">
        <v>19</v>
      </c>
      <c r="E76" s="186">
        <f>C76-(C76*0.19)</f>
        <v>535.34520000000009</v>
      </c>
      <c r="F76" s="55"/>
      <c r="H76" s="80"/>
    </row>
    <row r="77" spans="1:8" ht="14.45" customHeight="1" x14ac:dyDescent="0.2">
      <c r="A77" s="152" t="s">
        <v>126</v>
      </c>
      <c r="B77" s="87" t="s">
        <v>6</v>
      </c>
      <c r="C77" s="240">
        <f>26*25.42</f>
        <v>660.92000000000007</v>
      </c>
      <c r="D77" s="185">
        <v>19</v>
      </c>
      <c r="E77" s="186">
        <f>C77-(C77*0.19)</f>
        <v>535.34520000000009</v>
      </c>
      <c r="F77" s="55"/>
      <c r="H77" s="80"/>
    </row>
    <row r="78" spans="1:8" ht="14.45" customHeight="1" x14ac:dyDescent="0.2">
      <c r="A78" s="152" t="s">
        <v>127</v>
      </c>
      <c r="B78" s="87" t="s">
        <v>6</v>
      </c>
      <c r="C78" s="238">
        <f>26*35</f>
        <v>910</v>
      </c>
      <c r="D78" s="180">
        <v>20</v>
      </c>
      <c r="E78" s="239">
        <f>C78-(C78*0.2)</f>
        <v>728</v>
      </c>
      <c r="F78" s="55"/>
      <c r="H78" s="80"/>
    </row>
    <row r="79" spans="1:8" ht="14.45" customHeight="1" x14ac:dyDescent="0.2">
      <c r="A79" s="154" t="s">
        <v>121</v>
      </c>
      <c r="B79" s="87" t="s">
        <v>6</v>
      </c>
      <c r="C79" s="238">
        <f>26*19</f>
        <v>494</v>
      </c>
      <c r="D79" s="180">
        <v>20</v>
      </c>
      <c r="E79" s="239">
        <f>C79-(C79*0.2)</f>
        <v>395.2</v>
      </c>
      <c r="F79" s="55"/>
      <c r="H79" s="80"/>
    </row>
    <row r="80" spans="1:8" ht="14.45" customHeight="1" thickBot="1" x14ac:dyDescent="0.25">
      <c r="A80" s="152" t="s">
        <v>122</v>
      </c>
      <c r="B80" s="87" t="s">
        <v>6</v>
      </c>
      <c r="C80" s="238">
        <f>26*19</f>
        <v>494</v>
      </c>
      <c r="D80" s="180">
        <v>20</v>
      </c>
      <c r="E80" s="239">
        <f>C80-(C80*0.2)</f>
        <v>395.2</v>
      </c>
      <c r="F80" s="55"/>
      <c r="H80" s="80"/>
    </row>
    <row r="81" spans="1:10" ht="14.45" customHeight="1" thickBot="1" x14ac:dyDescent="0.25">
      <c r="A81" s="315" t="s">
        <v>230</v>
      </c>
      <c r="B81" s="103"/>
      <c r="C81" s="313"/>
      <c r="D81" s="314"/>
      <c r="E81" s="71">
        <f>E76*47</f>
        <v>25161.224400000003</v>
      </c>
      <c r="F81" s="55"/>
      <c r="H81" s="80"/>
    </row>
    <row r="82" spans="1:10" ht="14.45" customHeight="1" thickBot="1" x14ac:dyDescent="0.25">
      <c r="A82" s="169" t="s">
        <v>224</v>
      </c>
      <c r="B82" s="181"/>
      <c r="C82" s="268"/>
      <c r="D82" s="182"/>
      <c r="E82" s="71">
        <f>SUM(E76:E80)</f>
        <v>2589.0904</v>
      </c>
      <c r="F82" s="55"/>
      <c r="H82" s="80"/>
    </row>
    <row r="83" spans="1:10" ht="11.25" customHeight="1" x14ac:dyDescent="0.2">
      <c r="F83" s="55"/>
      <c r="H83" s="80"/>
    </row>
    <row r="84" spans="1:10" ht="13.5" thickBot="1" x14ac:dyDescent="0.25">
      <c r="A84" s="7" t="s">
        <v>228</v>
      </c>
      <c r="H84" s="82"/>
    </row>
    <row r="85" spans="1:10" x14ac:dyDescent="0.2">
      <c r="A85" s="25" t="s">
        <v>18</v>
      </c>
      <c r="B85" s="26" t="s">
        <v>19</v>
      </c>
      <c r="C85" s="27" t="s">
        <v>44</v>
      </c>
      <c r="D85" s="27" t="s">
        <v>125</v>
      </c>
      <c r="E85" s="184" t="s">
        <v>116</v>
      </c>
      <c r="F85" s="55"/>
      <c r="J85" s="81"/>
    </row>
    <row r="86" spans="1:10" x14ac:dyDescent="0.2">
      <c r="A86" s="154" t="s">
        <v>118</v>
      </c>
      <c r="B86" s="289" t="s">
        <v>251</v>
      </c>
      <c r="C86" s="290"/>
      <c r="D86" s="291"/>
      <c r="E86" s="186">
        <v>0</v>
      </c>
      <c r="H86" s="82"/>
    </row>
    <row r="87" spans="1:10" x14ac:dyDescent="0.2">
      <c r="A87" s="154" t="s">
        <v>126</v>
      </c>
      <c r="B87" s="289" t="s">
        <v>251</v>
      </c>
      <c r="C87" s="290"/>
      <c r="D87" s="291"/>
      <c r="E87" s="186">
        <v>0</v>
      </c>
      <c r="H87" s="82"/>
    </row>
    <row r="88" spans="1:10" x14ac:dyDescent="0.2">
      <c r="A88" s="154" t="s">
        <v>127</v>
      </c>
      <c r="B88" s="87" t="s">
        <v>6</v>
      </c>
      <c r="C88" s="240">
        <v>440</v>
      </c>
      <c r="D88" s="185">
        <v>10</v>
      </c>
      <c r="E88" s="186">
        <f>C88-(C88*0.1)</f>
        <v>396</v>
      </c>
      <c r="H88" s="82"/>
    </row>
    <row r="89" spans="1:10" x14ac:dyDescent="0.2">
      <c r="A89" s="154" t="s">
        <v>121</v>
      </c>
      <c r="B89" s="87" t="s">
        <v>6</v>
      </c>
      <c r="C89" s="240">
        <v>238</v>
      </c>
      <c r="D89" s="185">
        <v>20</v>
      </c>
      <c r="E89" s="186">
        <f>C89-(C89*0.2)</f>
        <v>190.4</v>
      </c>
      <c r="H89" s="82"/>
    </row>
    <row r="90" spans="1:10" x14ac:dyDescent="0.2">
      <c r="A90" s="154" t="s">
        <v>122</v>
      </c>
      <c r="B90" s="87" t="s">
        <v>6</v>
      </c>
      <c r="C90" s="240">
        <v>138</v>
      </c>
      <c r="D90" s="185">
        <v>20</v>
      </c>
      <c r="E90" s="186">
        <f>C90-(C90*0.2)</f>
        <v>110.4</v>
      </c>
      <c r="H90" s="82"/>
    </row>
    <row r="91" spans="1:10" x14ac:dyDescent="0.2">
      <c r="A91" s="168" t="s">
        <v>225</v>
      </c>
      <c r="B91" s="87"/>
      <c r="C91" s="240"/>
      <c r="D91" s="185"/>
      <c r="E91" s="187">
        <f>SUM(E88:E90)</f>
        <v>696.8</v>
      </c>
      <c r="H91" s="82"/>
    </row>
    <row r="92" spans="1:10" x14ac:dyDescent="0.2">
      <c r="A92" s="84"/>
      <c r="B92" s="84"/>
      <c r="D92" s="29"/>
      <c r="E92" s="19"/>
      <c r="F92" s="5"/>
    </row>
    <row r="93" spans="1:10" ht="13.5" thickBot="1" x14ac:dyDescent="0.25">
      <c r="A93" s="7" t="s">
        <v>129</v>
      </c>
      <c r="F93" s="5"/>
    </row>
    <row r="94" spans="1:10" ht="13.5" thickBot="1" x14ac:dyDescent="0.25">
      <c r="A94" s="20" t="s">
        <v>18</v>
      </c>
      <c r="B94" s="21" t="s">
        <v>19</v>
      </c>
      <c r="C94" s="21" t="s">
        <v>11</v>
      </c>
      <c r="D94" s="22" t="s">
        <v>44</v>
      </c>
      <c r="E94" s="23" t="s">
        <v>116</v>
      </c>
      <c r="F94" s="5"/>
    </row>
    <row r="95" spans="1:10" ht="13.5" thickBot="1" x14ac:dyDescent="0.25">
      <c r="A95" s="188" t="s">
        <v>130</v>
      </c>
      <c r="B95" s="161" t="s">
        <v>7</v>
      </c>
      <c r="C95" s="189">
        <v>47</v>
      </c>
      <c r="D95" s="190">
        <v>24.1</v>
      </c>
      <c r="E95" s="63">
        <f>C95*D95</f>
        <v>1132.7</v>
      </c>
      <c r="F95" s="5"/>
    </row>
    <row r="96" spans="1:10" ht="13.5" thickBot="1" x14ac:dyDescent="0.25">
      <c r="A96" s="84"/>
      <c r="B96" s="84"/>
      <c r="D96" s="29"/>
      <c r="E96" s="19"/>
      <c r="F96" s="5"/>
    </row>
    <row r="97" spans="1:7" ht="13.5" thickBot="1" x14ac:dyDescent="0.25">
      <c r="A97" s="56" t="s">
        <v>47</v>
      </c>
      <c r="B97" s="57"/>
      <c r="C97" s="57"/>
      <c r="D97" s="58"/>
      <c r="E97" s="59">
        <f>E36+E45+E54+E63+E72+E81+E82+E91+E95</f>
        <v>238176.03157100003</v>
      </c>
      <c r="F97" s="5"/>
      <c r="G97" s="64"/>
    </row>
    <row r="98" spans="1:7" ht="15" customHeight="1" x14ac:dyDescent="0.2"/>
    <row r="99" spans="1:7" x14ac:dyDescent="0.2">
      <c r="A99" s="7" t="s">
        <v>15</v>
      </c>
      <c r="F99" s="5"/>
    </row>
    <row r="100" spans="1:7" ht="13.9" customHeight="1" thickBot="1" x14ac:dyDescent="0.25">
      <c r="A100" s="3" t="s">
        <v>131</v>
      </c>
      <c r="F100" s="5"/>
    </row>
    <row r="101" spans="1:7" ht="27.75" customHeight="1" x14ac:dyDescent="0.2">
      <c r="A101" s="25" t="s">
        <v>18</v>
      </c>
      <c r="B101" s="26" t="s">
        <v>19</v>
      </c>
      <c r="C101" s="192" t="s">
        <v>45</v>
      </c>
      <c r="D101" s="27" t="s">
        <v>44</v>
      </c>
      <c r="E101" s="27" t="s">
        <v>20</v>
      </c>
      <c r="F101" s="5"/>
    </row>
    <row r="102" spans="1:7" ht="13.15" customHeight="1" x14ac:dyDescent="0.2">
      <c r="A102" s="53" t="s">
        <v>81</v>
      </c>
      <c r="B102" s="87" t="s">
        <v>7</v>
      </c>
      <c r="C102" s="75">
        <v>12</v>
      </c>
      <c r="D102" s="183">
        <v>150</v>
      </c>
      <c r="E102" s="72">
        <f t="shared" ref="E102:E114" si="0">D102/C102</f>
        <v>12.5</v>
      </c>
      <c r="F102" s="5"/>
    </row>
    <row r="103" spans="1:7" ht="13.15" customHeight="1" x14ac:dyDescent="0.2">
      <c r="A103" s="10" t="s">
        <v>8</v>
      </c>
      <c r="B103" s="11" t="s">
        <v>7</v>
      </c>
      <c r="C103" s="75">
        <v>6</v>
      </c>
      <c r="D103" s="183">
        <v>54.8</v>
      </c>
      <c r="E103" s="72">
        <f t="shared" si="0"/>
        <v>9.1333333333333329</v>
      </c>
      <c r="F103" s="5"/>
    </row>
    <row r="104" spans="1:7" x14ac:dyDescent="0.2">
      <c r="A104" s="96" t="s">
        <v>71</v>
      </c>
      <c r="B104" s="97" t="s">
        <v>7</v>
      </c>
      <c r="C104" s="75">
        <v>6</v>
      </c>
      <c r="D104" s="220">
        <v>43.65</v>
      </c>
      <c r="E104" s="72">
        <f t="shared" si="0"/>
        <v>7.2749999999999995</v>
      </c>
      <c r="F104" s="5"/>
    </row>
    <row r="105" spans="1:7" x14ac:dyDescent="0.2">
      <c r="A105" s="96" t="s">
        <v>72</v>
      </c>
      <c r="B105" s="97" t="s">
        <v>7</v>
      </c>
      <c r="C105" s="75">
        <v>6</v>
      </c>
      <c r="D105" s="220">
        <v>38.9</v>
      </c>
      <c r="E105" s="72">
        <f t="shared" si="0"/>
        <v>6.4833333333333334</v>
      </c>
      <c r="F105" s="5"/>
    </row>
    <row r="106" spans="1:7" ht="13.9" customHeight="1" x14ac:dyDescent="0.2">
      <c r="A106" s="53" t="s">
        <v>133</v>
      </c>
      <c r="B106" s="11" t="s">
        <v>17</v>
      </c>
      <c r="C106" s="75">
        <v>6</v>
      </c>
      <c r="D106" s="183">
        <v>66</v>
      </c>
      <c r="E106" s="72">
        <f t="shared" si="0"/>
        <v>11</v>
      </c>
      <c r="F106" s="5"/>
    </row>
    <row r="107" spans="1:7" ht="13.9" customHeight="1" x14ac:dyDescent="0.2">
      <c r="A107" s="53" t="s">
        <v>61</v>
      </c>
      <c r="B107" s="87" t="s">
        <v>7</v>
      </c>
      <c r="C107" s="75">
        <v>6</v>
      </c>
      <c r="D107" s="183">
        <v>14</v>
      </c>
      <c r="E107" s="72">
        <f t="shared" si="0"/>
        <v>2.3333333333333335</v>
      </c>
      <c r="F107" s="5"/>
    </row>
    <row r="108" spans="1:7" ht="13.9" customHeight="1" x14ac:dyDescent="0.2">
      <c r="A108" s="89" t="s">
        <v>65</v>
      </c>
      <c r="B108" s="90" t="s">
        <v>7</v>
      </c>
      <c r="C108" s="75">
        <v>6</v>
      </c>
      <c r="D108" s="183">
        <v>22.9</v>
      </c>
      <c r="E108" s="72">
        <f t="shared" si="0"/>
        <v>3.8166666666666664</v>
      </c>
      <c r="F108" s="5"/>
    </row>
    <row r="109" spans="1:7" ht="13.9" customHeight="1" x14ac:dyDescent="0.2">
      <c r="A109" s="53" t="s">
        <v>66</v>
      </c>
      <c r="B109" s="87" t="s">
        <v>17</v>
      </c>
      <c r="C109" s="75">
        <v>4</v>
      </c>
      <c r="D109" s="183">
        <v>16.600000000000001</v>
      </c>
      <c r="E109" s="72">
        <f t="shared" si="0"/>
        <v>4.1500000000000004</v>
      </c>
      <c r="F109" s="5"/>
    </row>
    <row r="110" spans="1:7" ht="13.9" customHeight="1" x14ac:dyDescent="0.2">
      <c r="A110" s="96" t="s">
        <v>73</v>
      </c>
      <c r="B110" s="87" t="s">
        <v>7</v>
      </c>
      <c r="C110" s="75">
        <v>6</v>
      </c>
      <c r="D110" s="220">
        <v>24.25</v>
      </c>
      <c r="E110" s="72">
        <f t="shared" si="0"/>
        <v>4.041666666666667</v>
      </c>
      <c r="F110" s="5"/>
    </row>
    <row r="111" spans="1:7" ht="13.9" customHeight="1" x14ac:dyDescent="0.2">
      <c r="A111" s="53" t="s">
        <v>82</v>
      </c>
      <c r="B111" s="87" t="s">
        <v>7</v>
      </c>
      <c r="C111" s="75">
        <v>4</v>
      </c>
      <c r="D111" s="183">
        <v>21.2</v>
      </c>
      <c r="E111" s="72">
        <f t="shared" si="0"/>
        <v>5.3</v>
      </c>
      <c r="F111" s="5"/>
    </row>
    <row r="112" spans="1:7" ht="13.9" customHeight="1" x14ac:dyDescent="0.2">
      <c r="A112" s="53" t="s">
        <v>62</v>
      </c>
      <c r="B112" s="87" t="s">
        <v>63</v>
      </c>
      <c r="C112" s="75">
        <v>3</v>
      </c>
      <c r="D112" s="183">
        <v>17.989999999999998</v>
      </c>
      <c r="E112" s="72">
        <f t="shared" si="0"/>
        <v>5.9966666666666661</v>
      </c>
      <c r="F112" s="5"/>
    </row>
    <row r="113" spans="1:6" ht="13.9" customHeight="1" x14ac:dyDescent="0.2">
      <c r="A113" s="53" t="s">
        <v>114</v>
      </c>
      <c r="B113" s="87" t="s">
        <v>7</v>
      </c>
      <c r="C113" s="75">
        <v>6</v>
      </c>
      <c r="D113" s="183">
        <v>15.5</v>
      </c>
      <c r="E113" s="72">
        <f t="shared" si="0"/>
        <v>2.5833333333333335</v>
      </c>
      <c r="F113" s="5"/>
    </row>
    <row r="114" spans="1:6" ht="13.9" customHeight="1" x14ac:dyDescent="0.2">
      <c r="A114" s="53" t="s">
        <v>132</v>
      </c>
      <c r="B114" s="87" t="s">
        <v>7</v>
      </c>
      <c r="C114" s="75">
        <v>4</v>
      </c>
      <c r="D114" s="183">
        <v>3.75</v>
      </c>
      <c r="E114" s="72">
        <f t="shared" si="0"/>
        <v>0.9375</v>
      </c>
      <c r="F114" s="5"/>
    </row>
    <row r="115" spans="1:6" ht="13.5" thickBot="1" x14ac:dyDescent="0.25">
      <c r="A115" s="278" t="s">
        <v>64</v>
      </c>
      <c r="B115" s="279"/>
      <c r="C115" s="193">
        <v>47</v>
      </c>
      <c r="D115" s="194">
        <f>SUM(E102:E114)</f>
        <v>75.55083333333333</v>
      </c>
      <c r="E115" s="195">
        <f>C115*D115</f>
        <v>3550.8891666666664</v>
      </c>
    </row>
    <row r="116" spans="1:6" x14ac:dyDescent="0.2">
      <c r="D116" s="5"/>
      <c r="E116" s="5"/>
    </row>
    <row r="117" spans="1:6" x14ac:dyDescent="0.2">
      <c r="A117" s="3" t="s">
        <v>100</v>
      </c>
      <c r="D117" s="29"/>
      <c r="E117" s="65"/>
    </row>
    <row r="118" spans="1:6" ht="24" x14ac:dyDescent="0.2">
      <c r="A118" s="196" t="s">
        <v>18</v>
      </c>
      <c r="B118" s="196" t="s">
        <v>19</v>
      </c>
      <c r="C118" s="197" t="s">
        <v>45</v>
      </c>
      <c r="D118" s="198" t="s">
        <v>44</v>
      </c>
      <c r="E118" s="198" t="s">
        <v>20</v>
      </c>
    </row>
    <row r="119" spans="1:6" x14ac:dyDescent="0.2">
      <c r="A119" s="53" t="s">
        <v>81</v>
      </c>
      <c r="B119" s="87" t="s">
        <v>7</v>
      </c>
      <c r="C119" s="75">
        <v>12</v>
      </c>
      <c r="D119" s="183">
        <v>150</v>
      </c>
      <c r="E119" s="72">
        <f t="shared" ref="E119:E127" si="1">D119/C119</f>
        <v>12.5</v>
      </c>
    </row>
    <row r="120" spans="1:6" x14ac:dyDescent="0.2">
      <c r="A120" s="10" t="s">
        <v>8</v>
      </c>
      <c r="B120" s="11" t="s">
        <v>7</v>
      </c>
      <c r="C120" s="75">
        <v>6</v>
      </c>
      <c r="D120" s="183">
        <v>54.8</v>
      </c>
      <c r="E120" s="72">
        <f t="shared" si="1"/>
        <v>9.1333333333333329</v>
      </c>
    </row>
    <row r="121" spans="1:6" x14ac:dyDescent="0.2">
      <c r="A121" s="96" t="s">
        <v>71</v>
      </c>
      <c r="B121" s="97" t="s">
        <v>7</v>
      </c>
      <c r="C121" s="75">
        <v>12</v>
      </c>
      <c r="D121" s="220">
        <v>43.65</v>
      </c>
      <c r="E121" s="72">
        <f t="shared" si="1"/>
        <v>3.6374999999999997</v>
      </c>
    </row>
    <row r="122" spans="1:6" x14ac:dyDescent="0.2">
      <c r="A122" s="96" t="s">
        <v>72</v>
      </c>
      <c r="B122" s="97" t="s">
        <v>7</v>
      </c>
      <c r="C122" s="75">
        <v>12</v>
      </c>
      <c r="D122" s="220">
        <v>38.9</v>
      </c>
      <c r="E122" s="72">
        <f t="shared" si="1"/>
        <v>3.2416666666666667</v>
      </c>
    </row>
    <row r="123" spans="1:6" x14ac:dyDescent="0.2">
      <c r="A123" s="53" t="s">
        <v>133</v>
      </c>
      <c r="B123" s="11" t="s">
        <v>17</v>
      </c>
      <c r="C123" s="75">
        <v>6</v>
      </c>
      <c r="D123" s="183">
        <v>66</v>
      </c>
      <c r="E123" s="72">
        <f t="shared" si="1"/>
        <v>11</v>
      </c>
    </row>
    <row r="124" spans="1:6" x14ac:dyDescent="0.2">
      <c r="A124" s="53" t="s">
        <v>82</v>
      </c>
      <c r="B124" s="87" t="s">
        <v>7</v>
      </c>
      <c r="C124" s="75">
        <v>12</v>
      </c>
      <c r="D124" s="183">
        <v>21.2</v>
      </c>
      <c r="E124" s="72">
        <f t="shared" si="1"/>
        <v>1.7666666666666666</v>
      </c>
    </row>
    <row r="125" spans="1:6" x14ac:dyDescent="0.2">
      <c r="A125" s="53" t="s">
        <v>62</v>
      </c>
      <c r="B125" s="87" t="s">
        <v>63</v>
      </c>
      <c r="C125" s="75">
        <v>3</v>
      </c>
      <c r="D125" s="183">
        <v>17.989999999999998</v>
      </c>
      <c r="E125" s="72">
        <f t="shared" si="1"/>
        <v>5.9966666666666661</v>
      </c>
    </row>
    <row r="126" spans="1:6" x14ac:dyDescent="0.2">
      <c r="A126" s="53" t="s">
        <v>114</v>
      </c>
      <c r="B126" s="87" t="s">
        <v>7</v>
      </c>
      <c r="C126" s="75">
        <v>6</v>
      </c>
      <c r="D126" s="183">
        <v>15.5</v>
      </c>
      <c r="E126" s="72">
        <f t="shared" si="1"/>
        <v>2.5833333333333335</v>
      </c>
    </row>
    <row r="127" spans="1:6" x14ac:dyDescent="0.2">
      <c r="A127" s="53" t="s">
        <v>132</v>
      </c>
      <c r="B127" s="87" t="s">
        <v>7</v>
      </c>
      <c r="C127" s="75">
        <v>6</v>
      </c>
      <c r="D127" s="183">
        <v>3.75</v>
      </c>
      <c r="E127" s="72">
        <f t="shared" si="1"/>
        <v>0.625</v>
      </c>
    </row>
    <row r="128" spans="1:6" ht="13.5" thickBot="1" x14ac:dyDescent="0.25">
      <c r="A128" s="278" t="s">
        <v>64</v>
      </c>
      <c r="B128" s="279"/>
      <c r="C128" s="193">
        <v>3</v>
      </c>
      <c r="D128" s="194">
        <f>SUM(E119:E127)</f>
        <v>50.484166666666674</v>
      </c>
      <c r="E128" s="195">
        <f>C128*D128</f>
        <v>151.45250000000001</v>
      </c>
    </row>
    <row r="129" spans="1:6" ht="11.25" customHeight="1" thickBot="1" x14ac:dyDescent="0.25">
      <c r="F129" s="5"/>
    </row>
    <row r="130" spans="1:6" ht="13.5" thickBot="1" x14ac:dyDescent="0.25">
      <c r="A130" s="56" t="s">
        <v>48</v>
      </c>
      <c r="B130" s="60"/>
      <c r="C130" s="60"/>
      <c r="D130" s="61"/>
      <c r="E130" s="62">
        <f>E115+E128</f>
        <v>3702.3416666666662</v>
      </c>
      <c r="F130" s="5"/>
    </row>
    <row r="131" spans="1:6" ht="11.25" customHeight="1" x14ac:dyDescent="0.2">
      <c r="F131" s="5"/>
    </row>
    <row r="132" spans="1:6" ht="13.9" customHeight="1" x14ac:dyDescent="0.2">
      <c r="A132" s="7" t="s">
        <v>215</v>
      </c>
      <c r="B132" s="3"/>
      <c r="C132" s="3"/>
      <c r="D132" s="55"/>
      <c r="E132" s="55"/>
      <c r="F132" s="5"/>
    </row>
    <row r="133" spans="1:6" ht="13.9" customHeight="1" thickBot="1" x14ac:dyDescent="0.25">
      <c r="A133" s="109" t="s">
        <v>74</v>
      </c>
      <c r="B133" s="3"/>
      <c r="C133" s="3"/>
      <c r="D133" s="55"/>
      <c r="E133" s="55"/>
      <c r="F133" s="5"/>
    </row>
    <row r="134" spans="1:6" ht="13.9" customHeight="1" thickBot="1" x14ac:dyDescent="0.25">
      <c r="A134" s="98" t="s">
        <v>18</v>
      </c>
      <c r="B134" s="99" t="s">
        <v>19</v>
      </c>
      <c r="C134" s="99" t="s">
        <v>11</v>
      </c>
      <c r="D134" s="100" t="s">
        <v>44</v>
      </c>
      <c r="E134" s="101" t="s">
        <v>20</v>
      </c>
      <c r="F134" s="5"/>
    </row>
    <row r="135" spans="1:6" ht="13.9" customHeight="1" thickBot="1" x14ac:dyDescent="0.25">
      <c r="A135" s="272" t="s">
        <v>103</v>
      </c>
      <c r="B135" s="273"/>
      <c r="C135" s="273"/>
      <c r="D135" s="273"/>
      <c r="E135" s="274"/>
      <c r="F135" s="5"/>
    </row>
    <row r="136" spans="1:6" ht="13.9" customHeight="1" x14ac:dyDescent="0.2">
      <c r="A136" s="102" t="s">
        <v>148</v>
      </c>
      <c r="B136" s="88" t="s">
        <v>7</v>
      </c>
      <c r="C136" s="221">
        <v>1</v>
      </c>
      <c r="D136" s="222">
        <v>275000</v>
      </c>
      <c r="E136" s="94">
        <f>C136*D136</f>
        <v>275000</v>
      </c>
      <c r="F136" s="5"/>
    </row>
    <row r="137" spans="1:6" ht="13.9" customHeight="1" x14ac:dyDescent="0.2">
      <c r="A137" s="53" t="s">
        <v>75</v>
      </c>
      <c r="B137" s="87" t="s">
        <v>76</v>
      </c>
      <c r="C137" s="75">
        <v>10</v>
      </c>
      <c r="D137" s="183"/>
      <c r="E137" s="74"/>
      <c r="F137" s="5"/>
    </row>
    <row r="138" spans="1:6" ht="13.9" hidden="1" customHeight="1" x14ac:dyDescent="0.2">
      <c r="A138" s="53" t="s">
        <v>77</v>
      </c>
      <c r="B138" s="87"/>
      <c r="C138" s="75">
        <v>0</v>
      </c>
      <c r="D138" s="183"/>
      <c r="E138" s="74"/>
      <c r="F138" s="5"/>
    </row>
    <row r="139" spans="1:6" ht="13.9" customHeight="1" x14ac:dyDescent="0.2">
      <c r="A139" s="53" t="s">
        <v>78</v>
      </c>
      <c r="B139" s="87" t="s">
        <v>1</v>
      </c>
      <c r="C139" s="223">
        <v>20</v>
      </c>
      <c r="D139" s="183">
        <f>E136</f>
        <v>275000</v>
      </c>
      <c r="E139" s="74">
        <f>C139*D139/100</f>
        <v>55000</v>
      </c>
      <c r="F139" s="5"/>
    </row>
    <row r="140" spans="1:6" ht="13.9" customHeight="1" x14ac:dyDescent="0.2">
      <c r="A140" s="76" t="s">
        <v>79</v>
      </c>
      <c r="B140" s="103" t="s">
        <v>6</v>
      </c>
      <c r="C140" s="224">
        <f>C137*12</f>
        <v>120</v>
      </c>
      <c r="D140" s="225">
        <f>E139</f>
        <v>55000</v>
      </c>
      <c r="E140" s="105">
        <f>D140/C140</f>
        <v>458.33333333333331</v>
      </c>
      <c r="F140" s="5"/>
    </row>
    <row r="141" spans="1:6" ht="13.9" customHeight="1" x14ac:dyDescent="0.2">
      <c r="A141" s="53"/>
      <c r="B141" s="87"/>
      <c r="C141" s="75"/>
      <c r="D141" s="183"/>
      <c r="E141" s="74"/>
      <c r="F141" s="5"/>
    </row>
    <row r="142" spans="1:6" ht="13.9" customHeight="1" x14ac:dyDescent="0.2">
      <c r="A142" s="54" t="s">
        <v>147</v>
      </c>
      <c r="B142" s="88" t="s">
        <v>7</v>
      </c>
      <c r="C142" s="221">
        <v>1</v>
      </c>
      <c r="D142" s="222">
        <v>38000</v>
      </c>
      <c r="E142" s="94">
        <f>C142*D142</f>
        <v>38000</v>
      </c>
      <c r="F142" s="5"/>
    </row>
    <row r="143" spans="1:6" ht="13.9" customHeight="1" x14ac:dyDescent="0.2">
      <c r="A143" s="53" t="s">
        <v>75</v>
      </c>
      <c r="B143" s="106" t="s">
        <v>80</v>
      </c>
      <c r="C143" s="223">
        <v>10</v>
      </c>
      <c r="D143" s="183"/>
      <c r="E143" s="74"/>
      <c r="F143" s="5"/>
    </row>
    <row r="144" spans="1:6" ht="13.9" customHeight="1" x14ac:dyDescent="0.2">
      <c r="A144" s="53" t="s">
        <v>78</v>
      </c>
      <c r="B144" s="87" t="s">
        <v>1</v>
      </c>
      <c r="C144" s="223">
        <v>20</v>
      </c>
      <c r="D144" s="183">
        <f>E142</f>
        <v>38000</v>
      </c>
      <c r="E144" s="74">
        <f>C144*D144/100</f>
        <v>7600</v>
      </c>
      <c r="F144" s="5"/>
    </row>
    <row r="145" spans="1:6" ht="13.9" customHeight="1" x14ac:dyDescent="0.2">
      <c r="A145" s="76" t="s">
        <v>79</v>
      </c>
      <c r="B145" s="103" t="s">
        <v>6</v>
      </c>
      <c r="C145" s="224">
        <f>C143*12</f>
        <v>120</v>
      </c>
      <c r="D145" s="225">
        <f>E144</f>
        <v>7600</v>
      </c>
      <c r="E145" s="105">
        <f>D145/C145</f>
        <v>63.333333333333336</v>
      </c>
      <c r="F145" s="5"/>
    </row>
    <row r="146" spans="1:6" ht="13.9" customHeight="1" x14ac:dyDescent="0.2">
      <c r="A146" s="53"/>
      <c r="B146" s="87"/>
      <c r="C146" s="75"/>
      <c r="D146" s="183"/>
      <c r="E146" s="74"/>
      <c r="F146" s="5"/>
    </row>
    <row r="147" spans="1:6" ht="13.9" customHeight="1" x14ac:dyDescent="0.2">
      <c r="A147" s="54" t="s">
        <v>149</v>
      </c>
      <c r="B147" s="88" t="s">
        <v>7</v>
      </c>
      <c r="C147" s="221">
        <v>1</v>
      </c>
      <c r="D147" s="222">
        <v>168990</v>
      </c>
      <c r="E147" s="74">
        <f>C147*D147</f>
        <v>168990</v>
      </c>
      <c r="F147" s="5"/>
    </row>
    <row r="148" spans="1:6" ht="13.9" customHeight="1" x14ac:dyDescent="0.2">
      <c r="A148" s="53" t="s">
        <v>75</v>
      </c>
      <c r="B148" s="106" t="s">
        <v>80</v>
      </c>
      <c r="C148" s="223">
        <v>10</v>
      </c>
      <c r="D148" s="183"/>
      <c r="E148" s="74"/>
      <c r="F148" s="5"/>
    </row>
    <row r="149" spans="1:6" ht="13.9" customHeight="1" x14ac:dyDescent="0.2">
      <c r="A149" s="53" t="s">
        <v>78</v>
      </c>
      <c r="B149" s="87" t="s">
        <v>1</v>
      </c>
      <c r="C149" s="223">
        <v>20</v>
      </c>
      <c r="D149" s="183">
        <f>E147</f>
        <v>168990</v>
      </c>
      <c r="E149" s="74">
        <f>C149*D149/100</f>
        <v>33798</v>
      </c>
      <c r="F149" s="5"/>
    </row>
    <row r="150" spans="1:6" ht="13.9" customHeight="1" x14ac:dyDescent="0.2">
      <c r="A150" s="108" t="s">
        <v>79</v>
      </c>
      <c r="B150" s="87" t="s">
        <v>6</v>
      </c>
      <c r="C150" s="75">
        <f>C148*12</f>
        <v>120</v>
      </c>
      <c r="D150" s="183">
        <f>E149</f>
        <v>33798</v>
      </c>
      <c r="E150" s="107">
        <f>IFERROR(D150/C150,0)</f>
        <v>281.64999999999998</v>
      </c>
      <c r="F150" s="5"/>
    </row>
    <row r="151" spans="1:6" ht="13.9" customHeight="1" thickBot="1" x14ac:dyDescent="0.25">
      <c r="A151" s="213"/>
      <c r="B151" s="103"/>
      <c r="C151" s="103"/>
      <c r="D151" s="104"/>
      <c r="E151" s="104"/>
      <c r="F151" s="5"/>
    </row>
    <row r="152" spans="1:6" ht="13.9" customHeight="1" x14ac:dyDescent="0.2">
      <c r="A152" s="214" t="s">
        <v>18</v>
      </c>
      <c r="B152" s="215" t="s">
        <v>168</v>
      </c>
      <c r="C152" s="216" t="s">
        <v>44</v>
      </c>
      <c r="D152" s="216" t="s">
        <v>169</v>
      </c>
      <c r="E152" s="217" t="s">
        <v>170</v>
      </c>
      <c r="F152" s="5"/>
    </row>
    <row r="153" spans="1:6" ht="13.9" customHeight="1" x14ac:dyDescent="0.2">
      <c r="A153" s="152" t="s">
        <v>159</v>
      </c>
      <c r="B153" s="87">
        <v>18</v>
      </c>
      <c r="C153" s="74">
        <v>864</v>
      </c>
      <c r="D153" s="74">
        <f>B153*C153</f>
        <v>15552</v>
      </c>
      <c r="E153" s="167">
        <f t="shared" ref="E153:E171" si="2">D153/12</f>
        <v>1296</v>
      </c>
      <c r="F153" s="5"/>
    </row>
    <row r="154" spans="1:6" ht="13.9" customHeight="1" x14ac:dyDescent="0.2">
      <c r="A154" s="154" t="s">
        <v>84</v>
      </c>
      <c r="B154" s="87">
        <v>12</v>
      </c>
      <c r="C154" s="74">
        <v>58.99</v>
      </c>
      <c r="D154" s="74">
        <f t="shared" ref="D154:D171" si="3">B154*C154</f>
        <v>707.88</v>
      </c>
      <c r="E154" s="167">
        <f t="shared" si="2"/>
        <v>58.99</v>
      </c>
      <c r="F154" s="5"/>
    </row>
    <row r="155" spans="1:6" ht="13.9" customHeight="1" x14ac:dyDescent="0.2">
      <c r="A155" s="218" t="s">
        <v>85</v>
      </c>
      <c r="B155" s="87">
        <v>12</v>
      </c>
      <c r="C155" s="74">
        <v>169.49</v>
      </c>
      <c r="D155" s="74">
        <f t="shared" si="3"/>
        <v>2033.88</v>
      </c>
      <c r="E155" s="167">
        <f t="shared" si="2"/>
        <v>169.49</v>
      </c>
      <c r="F155" s="5"/>
    </row>
    <row r="156" spans="1:6" ht="13.9" customHeight="1" x14ac:dyDescent="0.2">
      <c r="A156" s="204" t="s">
        <v>86</v>
      </c>
      <c r="B156" s="87">
        <v>12</v>
      </c>
      <c r="C156" s="74">
        <v>450</v>
      </c>
      <c r="D156" s="74">
        <f t="shared" si="3"/>
        <v>5400</v>
      </c>
      <c r="E156" s="167">
        <f t="shared" si="2"/>
        <v>450</v>
      </c>
      <c r="F156" s="5"/>
    </row>
    <row r="157" spans="1:6" ht="13.9" customHeight="1" x14ac:dyDescent="0.2">
      <c r="A157" s="204" t="s">
        <v>87</v>
      </c>
      <c r="B157" s="87">
        <v>12</v>
      </c>
      <c r="C157" s="74">
        <v>26</v>
      </c>
      <c r="D157" s="74">
        <f t="shared" si="3"/>
        <v>312</v>
      </c>
      <c r="E157" s="167">
        <f t="shared" si="2"/>
        <v>26</v>
      </c>
      <c r="F157" s="5"/>
    </row>
    <row r="158" spans="1:6" ht="13.9" customHeight="1" x14ac:dyDescent="0.2">
      <c r="A158" s="204" t="s">
        <v>88</v>
      </c>
      <c r="B158" s="87">
        <v>12</v>
      </c>
      <c r="C158" s="74">
        <v>59.75</v>
      </c>
      <c r="D158" s="74">
        <f t="shared" si="3"/>
        <v>717</v>
      </c>
      <c r="E158" s="167">
        <f t="shared" si="2"/>
        <v>59.75</v>
      </c>
      <c r="F158" s="5"/>
    </row>
    <row r="159" spans="1:6" ht="13.9" customHeight="1" x14ac:dyDescent="0.2">
      <c r="A159" s="218" t="s">
        <v>89</v>
      </c>
      <c r="B159" s="87">
        <v>6</v>
      </c>
      <c r="C159" s="74">
        <v>44.9</v>
      </c>
      <c r="D159" s="74">
        <f t="shared" si="3"/>
        <v>269.39999999999998</v>
      </c>
      <c r="E159" s="167">
        <f t="shared" si="2"/>
        <v>22.45</v>
      </c>
      <c r="F159" s="5"/>
    </row>
    <row r="160" spans="1:6" ht="13.9" customHeight="1" x14ac:dyDescent="0.2">
      <c r="A160" s="218" t="s">
        <v>90</v>
      </c>
      <c r="B160" s="87">
        <v>10</v>
      </c>
      <c r="C160" s="74">
        <v>42.05</v>
      </c>
      <c r="D160" s="74">
        <f t="shared" si="3"/>
        <v>420.5</v>
      </c>
      <c r="E160" s="167">
        <f t="shared" si="2"/>
        <v>35.041666666666664</v>
      </c>
      <c r="F160" s="5"/>
    </row>
    <row r="161" spans="1:6" ht="13.9" customHeight="1" x14ac:dyDescent="0.2">
      <c r="A161" s="218" t="s">
        <v>91</v>
      </c>
      <c r="B161" s="87">
        <v>10</v>
      </c>
      <c r="C161" s="74">
        <v>26</v>
      </c>
      <c r="D161" s="74">
        <f t="shared" si="3"/>
        <v>260</v>
      </c>
      <c r="E161" s="167">
        <f t="shared" si="2"/>
        <v>21.666666666666668</v>
      </c>
      <c r="F161" s="5"/>
    </row>
    <row r="162" spans="1:6" ht="13.9" customHeight="1" x14ac:dyDescent="0.2">
      <c r="A162" s="218" t="s">
        <v>92</v>
      </c>
      <c r="B162" s="87">
        <v>3</v>
      </c>
      <c r="C162" s="74">
        <v>39.9</v>
      </c>
      <c r="D162" s="74">
        <f t="shared" si="3"/>
        <v>119.69999999999999</v>
      </c>
      <c r="E162" s="167">
        <f t="shared" si="2"/>
        <v>9.9749999999999996</v>
      </c>
      <c r="F162" s="5"/>
    </row>
    <row r="163" spans="1:6" ht="13.9" customHeight="1" x14ac:dyDescent="0.2">
      <c r="A163" s="218" t="s">
        <v>93</v>
      </c>
      <c r="B163" s="87">
        <v>5</v>
      </c>
      <c r="C163" s="74">
        <v>44.8</v>
      </c>
      <c r="D163" s="74">
        <f t="shared" si="3"/>
        <v>224</v>
      </c>
      <c r="E163" s="167">
        <f t="shared" si="2"/>
        <v>18.666666666666668</v>
      </c>
      <c r="F163" s="5"/>
    </row>
    <row r="164" spans="1:6" ht="13.9" customHeight="1" x14ac:dyDescent="0.2">
      <c r="A164" s="218" t="s">
        <v>94</v>
      </c>
      <c r="B164" s="87">
        <v>20</v>
      </c>
      <c r="C164" s="74">
        <v>51.3</v>
      </c>
      <c r="D164" s="74">
        <f t="shared" si="3"/>
        <v>1026</v>
      </c>
      <c r="E164" s="167">
        <f t="shared" si="2"/>
        <v>85.5</v>
      </c>
      <c r="F164" s="5"/>
    </row>
    <row r="165" spans="1:6" ht="13.9" customHeight="1" x14ac:dyDescent="0.2">
      <c r="A165" s="218" t="s">
        <v>95</v>
      </c>
      <c r="B165" s="87">
        <v>20</v>
      </c>
      <c r="C165" s="74">
        <v>24.9</v>
      </c>
      <c r="D165" s="74">
        <f t="shared" si="3"/>
        <v>498</v>
      </c>
      <c r="E165" s="167">
        <f t="shared" si="2"/>
        <v>41.5</v>
      </c>
      <c r="F165" s="5"/>
    </row>
    <row r="166" spans="1:6" ht="13.9" customHeight="1" x14ac:dyDescent="0.2">
      <c r="A166" s="218" t="s">
        <v>96</v>
      </c>
      <c r="B166" s="87">
        <v>10</v>
      </c>
      <c r="C166" s="74">
        <v>515.99</v>
      </c>
      <c r="D166" s="74">
        <f t="shared" si="3"/>
        <v>5159.8999999999996</v>
      </c>
      <c r="E166" s="167">
        <f t="shared" si="2"/>
        <v>429.99166666666662</v>
      </c>
      <c r="F166" s="5"/>
    </row>
    <row r="167" spans="1:6" ht="13.9" customHeight="1" x14ac:dyDescent="0.2">
      <c r="A167" s="218" t="s">
        <v>97</v>
      </c>
      <c r="B167" s="87">
        <v>10</v>
      </c>
      <c r="C167" s="74">
        <v>39.9</v>
      </c>
      <c r="D167" s="74">
        <f t="shared" si="3"/>
        <v>399</v>
      </c>
      <c r="E167" s="167">
        <f t="shared" si="2"/>
        <v>33.25</v>
      </c>
      <c r="F167" s="5"/>
    </row>
    <row r="168" spans="1:6" ht="13.9" customHeight="1" x14ac:dyDescent="0.2">
      <c r="A168" s="218" t="s">
        <v>98</v>
      </c>
      <c r="B168" s="87">
        <v>20</v>
      </c>
      <c r="C168" s="74">
        <v>14</v>
      </c>
      <c r="D168" s="74">
        <f t="shared" si="3"/>
        <v>280</v>
      </c>
      <c r="E168" s="167">
        <f t="shared" si="2"/>
        <v>23.333333333333332</v>
      </c>
      <c r="F168" s="5"/>
    </row>
    <row r="169" spans="1:6" ht="13.9" customHeight="1" x14ac:dyDescent="0.2">
      <c r="A169" s="218" t="s">
        <v>99</v>
      </c>
      <c r="B169" s="87">
        <v>10</v>
      </c>
      <c r="C169" s="74">
        <v>18.7</v>
      </c>
      <c r="D169" s="74">
        <f t="shared" si="3"/>
        <v>187</v>
      </c>
      <c r="E169" s="167">
        <f t="shared" si="2"/>
        <v>15.583333333333334</v>
      </c>
      <c r="F169" s="5"/>
    </row>
    <row r="170" spans="1:6" x14ac:dyDescent="0.2">
      <c r="A170" s="218" t="s">
        <v>222</v>
      </c>
      <c r="B170" s="87">
        <f>1000*12</f>
        <v>12000</v>
      </c>
      <c r="C170" s="74">
        <v>0.88400000000000001</v>
      </c>
      <c r="D170" s="74">
        <f t="shared" si="3"/>
        <v>10608</v>
      </c>
      <c r="E170" s="167">
        <f t="shared" si="2"/>
        <v>884</v>
      </c>
      <c r="F170" s="5"/>
    </row>
    <row r="171" spans="1:6" ht="25.5" x14ac:dyDescent="0.2">
      <c r="A171" s="218" t="s">
        <v>223</v>
      </c>
      <c r="B171" s="87">
        <f>1000*12</f>
        <v>12000</v>
      </c>
      <c r="C171" s="74">
        <v>1.99</v>
      </c>
      <c r="D171" s="74">
        <f t="shared" si="3"/>
        <v>23880</v>
      </c>
      <c r="E171" s="167">
        <f t="shared" si="2"/>
        <v>1990</v>
      </c>
      <c r="F171" s="5"/>
    </row>
    <row r="172" spans="1:6" ht="13.5" thickBot="1" x14ac:dyDescent="0.25">
      <c r="A172" s="275" t="s">
        <v>217</v>
      </c>
      <c r="B172" s="276"/>
      <c r="C172" s="276"/>
      <c r="D172" s="277"/>
      <c r="E172" s="195">
        <f>E140+E145+E150+SUM(E153:E171)</f>
        <v>6474.5050000000001</v>
      </c>
      <c r="F172" s="5"/>
    </row>
    <row r="173" spans="1:6" ht="13.5" thickBot="1" x14ac:dyDescent="0.25">
      <c r="A173" s="3"/>
      <c r="B173" s="211"/>
      <c r="C173" s="211"/>
      <c r="D173" s="212"/>
      <c r="E173" s="212"/>
      <c r="F173" s="5"/>
    </row>
    <row r="174" spans="1:6" ht="13.5" thickBot="1" x14ac:dyDescent="0.25">
      <c r="A174" s="269" t="s">
        <v>104</v>
      </c>
      <c r="B174" s="270"/>
      <c r="C174" s="270"/>
      <c r="D174" s="270"/>
      <c r="E174" s="271"/>
      <c r="F174" s="5"/>
    </row>
    <row r="175" spans="1:6" x14ac:dyDescent="0.2">
      <c r="A175" s="214" t="s">
        <v>18</v>
      </c>
      <c r="B175" s="215" t="s">
        <v>189</v>
      </c>
      <c r="C175" s="216" t="s">
        <v>44</v>
      </c>
      <c r="D175" s="216" t="s">
        <v>201</v>
      </c>
      <c r="E175" s="217" t="s">
        <v>170</v>
      </c>
      <c r="F175" s="5"/>
    </row>
    <row r="176" spans="1:6" x14ac:dyDescent="0.2">
      <c r="A176" s="231" t="s">
        <v>200</v>
      </c>
      <c r="B176" s="230" t="s">
        <v>195</v>
      </c>
      <c r="C176" s="241">
        <v>6.44</v>
      </c>
      <c r="D176" s="74">
        <f>B176*C176</f>
        <v>9660</v>
      </c>
      <c r="E176" s="167">
        <f>(D176/2.5)/12</f>
        <v>322</v>
      </c>
      <c r="F176" s="5"/>
    </row>
    <row r="177" spans="1:6" x14ac:dyDescent="0.2">
      <c r="A177" s="231" t="s">
        <v>190</v>
      </c>
      <c r="B177" s="230" t="s">
        <v>195</v>
      </c>
      <c r="C177" s="241">
        <v>32</v>
      </c>
      <c r="D177" s="74">
        <f>B177*C177</f>
        <v>48000</v>
      </c>
      <c r="E177" s="167">
        <f>(D177/C177)/1000</f>
        <v>1.5</v>
      </c>
      <c r="F177" s="5"/>
    </row>
    <row r="178" spans="1:6" x14ac:dyDescent="0.2">
      <c r="A178" s="231" t="s">
        <v>191</v>
      </c>
      <c r="B178" s="230" t="s">
        <v>195</v>
      </c>
      <c r="C178" s="241">
        <v>39</v>
      </c>
      <c r="D178" s="74">
        <f>B178*C178</f>
        <v>58500</v>
      </c>
      <c r="E178" s="167">
        <f>(D178/C178)/1000</f>
        <v>1.5</v>
      </c>
      <c r="F178" s="5"/>
    </row>
    <row r="179" spans="1:6" x14ac:dyDescent="0.2">
      <c r="A179" s="231" t="s">
        <v>193</v>
      </c>
      <c r="B179" s="230" t="s">
        <v>195</v>
      </c>
      <c r="C179" s="241">
        <v>35</v>
      </c>
      <c r="D179" s="74">
        <f>B179*C179</f>
        <v>52500</v>
      </c>
      <c r="E179" s="167">
        <f>(D179/C179)/1000</f>
        <v>1.5</v>
      </c>
      <c r="F179" s="5"/>
    </row>
    <row r="180" spans="1:6" x14ac:dyDescent="0.2">
      <c r="A180" s="231" t="s">
        <v>194</v>
      </c>
      <c r="B180" s="230" t="s">
        <v>195</v>
      </c>
      <c r="C180" s="241">
        <v>80</v>
      </c>
      <c r="D180" s="74">
        <f>B180*C180</f>
        <v>120000</v>
      </c>
      <c r="E180" s="167">
        <f>(D180/C180)/1000</f>
        <v>1.5</v>
      </c>
      <c r="F180" s="5"/>
    </row>
    <row r="181" spans="1:6" ht="13.5" thickBot="1" x14ac:dyDescent="0.25">
      <c r="A181" s="232" t="s">
        <v>202</v>
      </c>
      <c r="B181" s="233" t="s">
        <v>6</v>
      </c>
      <c r="C181" s="233">
        <v>1</v>
      </c>
      <c r="D181" s="234"/>
      <c r="E181" s="219">
        <f>E176+E177+E178+E179+E180</f>
        <v>328</v>
      </c>
      <c r="F181" s="5"/>
    </row>
    <row r="182" spans="1:6" ht="13.5" thickBot="1" x14ac:dyDescent="0.25">
      <c r="A182" s="226"/>
      <c r="B182" s="227"/>
      <c r="C182" s="227"/>
      <c r="D182" s="228"/>
      <c r="E182" s="229"/>
      <c r="F182" s="5"/>
    </row>
    <row r="183" spans="1:6" x14ac:dyDescent="0.2">
      <c r="A183" s="236" t="s">
        <v>192</v>
      </c>
      <c r="B183" s="237">
        <v>3000</v>
      </c>
      <c r="C183" s="243">
        <v>6.44</v>
      </c>
      <c r="D183" s="242">
        <f>B183*C183</f>
        <v>19320</v>
      </c>
      <c r="E183" s="244">
        <f>(D183/2.5)/12</f>
        <v>644</v>
      </c>
      <c r="F183" s="5"/>
    </row>
    <row r="184" spans="1:6" x14ac:dyDescent="0.2">
      <c r="A184" s="231" t="s">
        <v>190</v>
      </c>
      <c r="B184" s="235">
        <v>3000</v>
      </c>
      <c r="C184" s="241">
        <v>32</v>
      </c>
      <c r="D184" s="74">
        <f>B184*C184</f>
        <v>96000</v>
      </c>
      <c r="E184" s="167">
        <f>(D184/C184)/1000</f>
        <v>3</v>
      </c>
      <c r="F184" s="5"/>
    </row>
    <row r="185" spans="1:6" x14ac:dyDescent="0.2">
      <c r="A185" s="231" t="s">
        <v>191</v>
      </c>
      <c r="B185" s="235">
        <v>3000</v>
      </c>
      <c r="C185" s="241">
        <v>39</v>
      </c>
      <c r="D185" s="74">
        <f>B185*C185</f>
        <v>117000</v>
      </c>
      <c r="E185" s="167">
        <f>(D185/C185)/1000</f>
        <v>3</v>
      </c>
      <c r="F185" s="5"/>
    </row>
    <row r="186" spans="1:6" x14ac:dyDescent="0.2">
      <c r="A186" s="231" t="s">
        <v>193</v>
      </c>
      <c r="B186" s="235">
        <v>3000</v>
      </c>
      <c r="C186" s="241">
        <v>35</v>
      </c>
      <c r="D186" s="74">
        <f>B186*C186</f>
        <v>105000</v>
      </c>
      <c r="E186" s="167">
        <f>(D186/C186)/1000</f>
        <v>3</v>
      </c>
      <c r="F186" s="5"/>
    </row>
    <row r="187" spans="1:6" x14ac:dyDescent="0.2">
      <c r="A187" s="231" t="s">
        <v>194</v>
      </c>
      <c r="B187" s="235">
        <v>3000</v>
      </c>
      <c r="C187" s="241">
        <v>80</v>
      </c>
      <c r="D187" s="74">
        <f>B187*C187</f>
        <v>240000</v>
      </c>
      <c r="E187" s="167">
        <f>(D187/C187)/1000</f>
        <v>3</v>
      </c>
      <c r="F187" s="5"/>
    </row>
    <row r="188" spans="1:6" ht="13.5" thickBot="1" x14ac:dyDescent="0.25">
      <c r="A188" s="232" t="s">
        <v>203</v>
      </c>
      <c r="B188" s="233" t="s">
        <v>6</v>
      </c>
      <c r="C188" s="233">
        <v>1</v>
      </c>
      <c r="D188" s="234"/>
      <c r="E188" s="219">
        <f>E183+E184+E185+E186+E187</f>
        <v>656</v>
      </c>
      <c r="F188" s="5"/>
    </row>
    <row r="189" spans="1:6" ht="13.5" thickBot="1" x14ac:dyDescent="0.25">
      <c r="A189" s="226"/>
      <c r="B189" s="227"/>
      <c r="C189" s="227"/>
      <c r="D189" s="228"/>
      <c r="E189" s="229"/>
      <c r="F189" s="5"/>
    </row>
    <row r="190" spans="1:6" x14ac:dyDescent="0.2">
      <c r="A190" s="236" t="s">
        <v>192</v>
      </c>
      <c r="B190" s="237">
        <v>2000</v>
      </c>
      <c r="C190" s="243">
        <v>6.44</v>
      </c>
      <c r="D190" s="242">
        <f>B190*C190</f>
        <v>12880</v>
      </c>
      <c r="E190" s="244">
        <f>(D190/2.5)/12</f>
        <v>429.33333333333331</v>
      </c>
      <c r="F190" s="5"/>
    </row>
    <row r="191" spans="1:6" x14ac:dyDescent="0.2">
      <c r="A191" s="231" t="s">
        <v>190</v>
      </c>
      <c r="B191" s="235">
        <v>2000</v>
      </c>
      <c r="C191" s="241">
        <v>32</v>
      </c>
      <c r="D191" s="74">
        <f>B191*C191</f>
        <v>64000</v>
      </c>
      <c r="E191" s="167">
        <f>(D191/C191)/1000</f>
        <v>2</v>
      </c>
      <c r="F191" s="5"/>
    </row>
    <row r="192" spans="1:6" x14ac:dyDescent="0.2">
      <c r="A192" s="231" t="s">
        <v>191</v>
      </c>
      <c r="B192" s="235">
        <v>2000</v>
      </c>
      <c r="C192" s="241">
        <v>39</v>
      </c>
      <c r="D192" s="74">
        <f>B192*C192</f>
        <v>78000</v>
      </c>
      <c r="E192" s="167">
        <f>(D192/C192)/1000</f>
        <v>2</v>
      </c>
      <c r="F192" s="5"/>
    </row>
    <row r="193" spans="1:6" x14ac:dyDescent="0.2">
      <c r="A193" s="231" t="s">
        <v>193</v>
      </c>
      <c r="B193" s="235">
        <v>2000</v>
      </c>
      <c r="C193" s="241">
        <v>35</v>
      </c>
      <c r="D193" s="74">
        <f>B193*C193</f>
        <v>70000</v>
      </c>
      <c r="E193" s="167">
        <f>(D193/C193)/1000</f>
        <v>2</v>
      </c>
      <c r="F193" s="5"/>
    </row>
    <row r="194" spans="1:6" x14ac:dyDescent="0.2">
      <c r="A194" s="231" t="s">
        <v>194</v>
      </c>
      <c r="B194" s="235">
        <v>2000</v>
      </c>
      <c r="C194" s="241">
        <v>80</v>
      </c>
      <c r="D194" s="74">
        <f>B194*C194</f>
        <v>160000</v>
      </c>
      <c r="E194" s="167">
        <f>(D194/C194)/1000</f>
        <v>2</v>
      </c>
      <c r="F194" s="5"/>
    </row>
    <row r="195" spans="1:6" ht="13.5" thickBot="1" x14ac:dyDescent="0.25">
      <c r="A195" s="232" t="s">
        <v>204</v>
      </c>
      <c r="B195" s="233" t="s">
        <v>6</v>
      </c>
      <c r="C195" s="233">
        <v>1</v>
      </c>
      <c r="D195" s="234"/>
      <c r="E195" s="219">
        <f>E190+E191+E192+E193+E194</f>
        <v>437.33333333333331</v>
      </c>
      <c r="F195" s="5"/>
    </row>
    <row r="196" spans="1:6" ht="13.5" thickBot="1" x14ac:dyDescent="0.25">
      <c r="A196" s="226"/>
      <c r="B196" s="227"/>
      <c r="C196" s="227"/>
      <c r="D196" s="228"/>
      <c r="E196" s="229"/>
      <c r="F196" s="5"/>
    </row>
    <row r="197" spans="1:6" ht="13.5" thickBot="1" x14ac:dyDescent="0.25">
      <c r="A197" s="282" t="s">
        <v>218</v>
      </c>
      <c r="B197" s="283"/>
      <c r="C197" s="283"/>
      <c r="D197" s="284"/>
      <c r="E197" s="245">
        <f>E181+E188+E195</f>
        <v>1421.3333333333333</v>
      </c>
      <c r="F197" s="5"/>
    </row>
    <row r="198" spans="1:6" ht="13.5" thickBot="1" x14ac:dyDescent="0.25">
      <c r="A198" s="3"/>
      <c r="B198" s="211"/>
      <c r="C198" s="211"/>
      <c r="D198" s="212"/>
      <c r="E198" s="212"/>
      <c r="F198" s="5"/>
    </row>
    <row r="199" spans="1:6" ht="13.5" thickBot="1" x14ac:dyDescent="0.25">
      <c r="A199" s="272" t="s">
        <v>105</v>
      </c>
      <c r="B199" s="273"/>
      <c r="C199" s="273"/>
      <c r="D199" s="273"/>
      <c r="E199" s="274"/>
      <c r="F199" s="5"/>
    </row>
    <row r="200" spans="1:6" x14ac:dyDescent="0.2">
      <c r="A200" s="214" t="s">
        <v>18</v>
      </c>
      <c r="B200" s="215" t="s">
        <v>206</v>
      </c>
      <c r="C200" s="216" t="s">
        <v>212</v>
      </c>
      <c r="D200" s="216" t="s">
        <v>169</v>
      </c>
      <c r="E200" s="217" t="s">
        <v>170</v>
      </c>
      <c r="F200" s="5"/>
    </row>
    <row r="201" spans="1:6" ht="14.25" customHeight="1" x14ac:dyDescent="0.2">
      <c r="A201" s="152" t="s">
        <v>208</v>
      </c>
      <c r="B201" s="88">
        <v>1</v>
      </c>
      <c r="C201" s="251">
        <v>0.01</v>
      </c>
      <c r="D201" s="94">
        <f>D136*0.01</f>
        <v>2750</v>
      </c>
      <c r="E201" s="253">
        <f>D201/12</f>
        <v>229.16666666666666</v>
      </c>
      <c r="F201" s="5"/>
    </row>
    <row r="202" spans="1:6" x14ac:dyDescent="0.2">
      <c r="A202" s="152" t="s">
        <v>209</v>
      </c>
      <c r="B202" s="88">
        <v>1</v>
      </c>
      <c r="C202" s="251">
        <v>0.01</v>
      </c>
      <c r="D202" s="94">
        <f>(D142*0.01)*4</f>
        <v>1520</v>
      </c>
      <c r="E202" s="253">
        <f>D202/12</f>
        <v>126.66666666666667</v>
      </c>
      <c r="F202" s="5"/>
    </row>
    <row r="203" spans="1:6" x14ac:dyDescent="0.2">
      <c r="A203" s="152" t="s">
        <v>210</v>
      </c>
      <c r="B203" s="88">
        <v>1</v>
      </c>
      <c r="C203" s="251">
        <v>0.01</v>
      </c>
      <c r="D203" s="94">
        <f>D147*0.01</f>
        <v>1689.9</v>
      </c>
      <c r="E203" s="253">
        <f>D203/12</f>
        <v>140.82500000000002</v>
      </c>
      <c r="F203" s="5"/>
    </row>
    <row r="204" spans="1:6" x14ac:dyDescent="0.2">
      <c r="A204" s="152" t="s">
        <v>102</v>
      </c>
      <c r="B204" s="88">
        <v>4</v>
      </c>
      <c r="C204" s="252">
        <v>109.27</v>
      </c>
      <c r="D204" s="94">
        <f>C204*4</f>
        <v>437.08</v>
      </c>
      <c r="E204" s="254">
        <f>D204/12</f>
        <v>36.423333333333332</v>
      </c>
      <c r="F204" s="5"/>
    </row>
    <row r="205" spans="1:6" x14ac:dyDescent="0.2">
      <c r="A205" s="152" t="s">
        <v>101</v>
      </c>
      <c r="B205" s="88">
        <v>4</v>
      </c>
      <c r="C205" s="252">
        <v>5000</v>
      </c>
      <c r="D205" s="94">
        <f>C205*4</f>
        <v>20000</v>
      </c>
      <c r="E205" s="254">
        <f>D205/12</f>
        <v>1666.6666666666667</v>
      </c>
      <c r="F205" s="5"/>
    </row>
    <row r="206" spans="1:6" ht="13.5" thickBot="1" x14ac:dyDescent="0.25">
      <c r="A206" s="275" t="s">
        <v>219</v>
      </c>
      <c r="B206" s="276"/>
      <c r="C206" s="276"/>
      <c r="D206" s="277"/>
      <c r="E206" s="195">
        <f>SUM(E201:E205)</f>
        <v>2199.7483333333334</v>
      </c>
      <c r="F206" s="5"/>
    </row>
    <row r="207" spans="1:6" ht="13.5" thickBot="1" x14ac:dyDescent="0.25">
      <c r="A207" s="3"/>
      <c r="B207" s="211"/>
      <c r="C207" s="211"/>
      <c r="D207" s="212"/>
      <c r="E207" s="212"/>
      <c r="F207" s="5"/>
    </row>
    <row r="208" spans="1:6" ht="13.5" thickBot="1" x14ac:dyDescent="0.25">
      <c r="A208" s="255" t="s">
        <v>220</v>
      </c>
      <c r="B208" s="256" t="s">
        <v>83</v>
      </c>
      <c r="C208" s="257">
        <v>0.5</v>
      </c>
      <c r="D208" s="258">
        <f>D136+D142+D147</f>
        <v>481990</v>
      </c>
      <c r="E208" s="71">
        <f>(C208*D208)/100</f>
        <v>2409.9499999999998</v>
      </c>
      <c r="F208" s="5"/>
    </row>
    <row r="209" spans="1:12" ht="13.5" thickBot="1" x14ac:dyDescent="0.25">
      <c r="A209" s="3"/>
      <c r="B209" s="211"/>
      <c r="C209" s="212"/>
      <c r="D209" s="212"/>
      <c r="E209" s="212"/>
      <c r="F209" s="5"/>
    </row>
    <row r="210" spans="1:12" ht="13.5" thickBot="1" x14ac:dyDescent="0.25">
      <c r="A210" s="56" t="s">
        <v>216</v>
      </c>
      <c r="B210" s="60"/>
      <c r="C210" s="60"/>
      <c r="D210" s="61"/>
      <c r="E210" s="62">
        <f>E172+E197+E206+E208</f>
        <v>12505.536666666667</v>
      </c>
      <c r="F210" s="5"/>
    </row>
    <row r="211" spans="1:12" ht="13.5" thickBot="1" x14ac:dyDescent="0.25">
      <c r="F211" s="5"/>
    </row>
    <row r="212" spans="1:12" ht="13.5" thickBot="1" x14ac:dyDescent="0.25">
      <c r="A212" s="12" t="s">
        <v>67</v>
      </c>
      <c r="B212" s="85"/>
      <c r="C212" s="85"/>
      <c r="D212" s="86"/>
      <c r="E212" s="91">
        <f>E97+E130+E210</f>
        <v>254383.90990433336</v>
      </c>
      <c r="F212" s="5"/>
    </row>
    <row r="213" spans="1:12" x14ac:dyDescent="0.2">
      <c r="F213" s="5"/>
    </row>
    <row r="214" spans="1:12" ht="13.5" thickBot="1" x14ac:dyDescent="0.25">
      <c r="A214" s="7" t="s">
        <v>69</v>
      </c>
      <c r="B214" s="7"/>
      <c r="C214" s="7"/>
      <c r="D214" s="15"/>
      <c r="E214" s="15"/>
      <c r="F214" s="5"/>
    </row>
    <row r="215" spans="1:12" x14ac:dyDescent="0.2">
      <c r="A215" s="214" t="s">
        <v>18</v>
      </c>
      <c r="B215" s="215" t="s">
        <v>19</v>
      </c>
      <c r="C215" s="215" t="s">
        <v>11</v>
      </c>
      <c r="D215" s="216" t="s">
        <v>44</v>
      </c>
      <c r="E215" s="217" t="s">
        <v>20</v>
      </c>
      <c r="F215" s="5"/>
    </row>
    <row r="216" spans="1:12" ht="13.9" customHeight="1" thickBot="1" x14ac:dyDescent="0.25">
      <c r="A216" s="259" t="s">
        <v>9</v>
      </c>
      <c r="B216" s="260" t="s">
        <v>1</v>
      </c>
      <c r="C216" s="261">
        <v>0.22189999999999999</v>
      </c>
      <c r="D216" s="262">
        <f>E212</f>
        <v>254383.90990433336</v>
      </c>
      <c r="E216" s="195">
        <f>D216*C216</f>
        <v>56447.78960777157</v>
      </c>
      <c r="F216" s="5"/>
    </row>
    <row r="217" spans="1:12" ht="13.9" customHeight="1" thickBot="1" x14ac:dyDescent="0.25">
      <c r="A217" s="67"/>
      <c r="B217" s="67"/>
      <c r="C217" s="67"/>
      <c r="D217" s="67"/>
      <c r="E217" s="67"/>
      <c r="F217" s="5"/>
    </row>
    <row r="218" spans="1:12" ht="13.9" customHeight="1" thickBot="1" x14ac:dyDescent="0.25">
      <c r="A218" s="56" t="s">
        <v>70</v>
      </c>
      <c r="B218" s="57"/>
      <c r="C218" s="57"/>
      <c r="D218" s="57"/>
      <c r="E218" s="62">
        <f>E216</f>
        <v>56447.78960777157</v>
      </c>
      <c r="F218" s="5"/>
    </row>
    <row r="219" spans="1:12" ht="11.25" customHeight="1" thickBot="1" x14ac:dyDescent="0.25">
      <c r="F219" s="5"/>
    </row>
    <row r="220" spans="1:12" ht="11.25" customHeight="1" thickBot="1" x14ac:dyDescent="0.25">
      <c r="A220" s="12" t="s">
        <v>49</v>
      </c>
      <c r="B220" s="13"/>
      <c r="C220" s="13"/>
      <c r="D220" s="14"/>
      <c r="E220" s="63">
        <f>E97+E130+E210+E218</f>
        <v>310831.69951210491</v>
      </c>
      <c r="F220" s="5"/>
    </row>
    <row r="221" spans="1:12" ht="11.25" customHeight="1" thickBot="1" x14ac:dyDescent="0.25">
      <c r="A221" s="7"/>
      <c r="D221" s="19"/>
      <c r="E221" s="19"/>
      <c r="F221" s="5"/>
    </row>
    <row r="222" spans="1:12" ht="15" x14ac:dyDescent="0.2">
      <c r="A222" s="328" t="s">
        <v>252</v>
      </c>
      <c r="B222" s="329"/>
      <c r="C222" s="329"/>
      <c r="D222" s="329"/>
      <c r="E222" s="330"/>
    </row>
    <row r="223" spans="1:12" x14ac:dyDescent="0.2">
      <c r="A223" s="331" t="s">
        <v>258</v>
      </c>
      <c r="B223" s="332"/>
      <c r="C223" s="332"/>
      <c r="D223" s="332"/>
      <c r="E223" s="333"/>
    </row>
    <row r="224" spans="1:12" x14ac:dyDescent="0.2">
      <c r="A224" s="331" t="s">
        <v>259</v>
      </c>
      <c r="B224" s="332"/>
      <c r="C224" s="332"/>
      <c r="D224" s="332"/>
      <c r="E224" s="333"/>
      <c r="L224" s="327"/>
    </row>
    <row r="225" spans="1:12" x14ac:dyDescent="0.2">
      <c r="A225" s="331" t="s">
        <v>260</v>
      </c>
      <c r="B225" s="332"/>
      <c r="C225" s="332"/>
      <c r="D225" s="332"/>
      <c r="E225" s="333"/>
    </row>
    <row r="226" spans="1:12" x14ac:dyDescent="0.2">
      <c r="A226" s="331" t="s">
        <v>261</v>
      </c>
      <c r="B226" s="332"/>
      <c r="C226" s="332"/>
      <c r="D226" s="332"/>
      <c r="E226" s="333"/>
      <c r="F226" s="5"/>
      <c r="L226" s="327"/>
    </row>
    <row r="227" spans="1:12" ht="11.25" customHeight="1" thickBot="1" x14ac:dyDescent="0.25">
      <c r="A227" s="334" t="s">
        <v>262</v>
      </c>
      <c r="B227" s="335"/>
      <c r="C227" s="335"/>
      <c r="D227" s="335"/>
      <c r="E227" s="336"/>
      <c r="L227" s="327"/>
    </row>
    <row r="228" spans="1:12" ht="13.5" thickBot="1" x14ac:dyDescent="0.25">
      <c r="F228" s="5"/>
      <c r="L228" s="327"/>
    </row>
    <row r="229" spans="1:12" ht="13.5" customHeight="1" x14ac:dyDescent="0.2">
      <c r="A229" s="337" t="s">
        <v>263</v>
      </c>
      <c r="B229" s="338"/>
      <c r="C229" s="338"/>
      <c r="D229" s="338"/>
      <c r="E229" s="339"/>
    </row>
    <row r="230" spans="1:12" ht="17.25" customHeight="1" thickBot="1" x14ac:dyDescent="0.25">
      <c r="A230" s="340"/>
      <c r="B230" s="341"/>
      <c r="C230" s="341"/>
      <c r="D230" s="341"/>
      <c r="E230" s="342"/>
      <c r="F230" s="80"/>
    </row>
    <row r="247" spans="4:6" x14ac:dyDescent="0.2">
      <c r="D247" s="5"/>
      <c r="E247" s="5"/>
    </row>
    <row r="256" spans="4:6" ht="9" customHeight="1" x14ac:dyDescent="0.2">
      <c r="F256" s="5"/>
    </row>
  </sheetData>
  <mergeCells count="42">
    <mergeCell ref="A227:E227"/>
    <mergeCell ref="A229:E230"/>
    <mergeCell ref="A222:E222"/>
    <mergeCell ref="A223:E223"/>
    <mergeCell ref="A224:E224"/>
    <mergeCell ref="A225:E225"/>
    <mergeCell ref="A226:E226"/>
    <mergeCell ref="A206:D206"/>
    <mergeCell ref="A7:C7"/>
    <mergeCell ref="A8:C8"/>
    <mergeCell ref="A9:C9"/>
    <mergeCell ref="A10:C10"/>
    <mergeCell ref="A11:C11"/>
    <mergeCell ref="A12:C12"/>
    <mergeCell ref="A13:C13"/>
    <mergeCell ref="A14:C14"/>
    <mergeCell ref="A16:C16"/>
    <mergeCell ref="A17:C17"/>
    <mergeCell ref="A19:C19"/>
    <mergeCell ref="A20:C20"/>
    <mergeCell ref="A21:C21"/>
    <mergeCell ref="A22:C22"/>
    <mergeCell ref="A29:E29"/>
    <mergeCell ref="A18:C18"/>
    <mergeCell ref="A23:C23"/>
    <mergeCell ref="A24:C24"/>
    <mergeCell ref="A1:E1"/>
    <mergeCell ref="A15:C15"/>
    <mergeCell ref="A4:E4"/>
    <mergeCell ref="A2:E2"/>
    <mergeCell ref="A5:C5"/>
    <mergeCell ref="A6:C6"/>
    <mergeCell ref="A174:E174"/>
    <mergeCell ref="A199:E199"/>
    <mergeCell ref="A172:D172"/>
    <mergeCell ref="A115:B115"/>
    <mergeCell ref="A37:D37"/>
    <mergeCell ref="A197:D197"/>
    <mergeCell ref="A128:B128"/>
    <mergeCell ref="A135:E135"/>
    <mergeCell ref="B86:D86"/>
    <mergeCell ref="B87:D87"/>
  </mergeCells>
  <phoneticPr fontId="14" type="noConversion"/>
  <hyperlinks>
    <hyperlink ref="A133" location="AbaDeprec" display="3.1.1. Depreciação" xr:uid="{00000000-0004-0000-0000-000000000000}"/>
  </hyperlinks>
  <printOptions horizontalCentered="1" verticalCentered="1"/>
  <pageMargins left="0.7" right="0.7" top="0.75" bottom="0.75" header="0.3" footer="0.3"/>
  <pageSetup paperSize="9" scale="70" fitToHeight="0" orientation="portrait" verticalDpi="300" r:id="rId1"/>
  <headerFooter alignWithMargins="0">
    <oddFooter>&amp;R&amp;P de &amp;N</oddFooter>
  </headerFooter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8499-2568-44E3-8CEC-751E5786B512}">
  <dimension ref="A1:E56"/>
  <sheetViews>
    <sheetView zoomScaleNormal="100" workbookViewId="0">
      <selection activeCell="D49" sqref="D49"/>
    </sheetView>
  </sheetViews>
  <sheetFormatPr defaultColWidth="9.140625" defaultRowHeight="12.75" x14ac:dyDescent="0.2"/>
  <cols>
    <col min="1" max="1" width="33.42578125" style="114" bestFit="1" customWidth="1"/>
    <col min="2" max="2" width="39.5703125" style="114" bestFit="1" customWidth="1"/>
    <col min="3" max="3" width="14.5703125" style="114" customWidth="1"/>
    <col min="4" max="4" width="37.28515625" style="114" customWidth="1"/>
    <col min="5" max="10" width="9.140625" style="114"/>
    <col min="11" max="11" width="11" style="114" bestFit="1" customWidth="1"/>
    <col min="12" max="16384" width="9.140625" style="114"/>
  </cols>
  <sheetData>
    <row r="1" spans="1:4" s="110" customFormat="1" ht="15.6" customHeight="1" x14ac:dyDescent="0.2">
      <c r="A1" s="111"/>
      <c r="B1" s="111"/>
      <c r="C1" s="111"/>
      <c r="D1" s="112"/>
    </row>
    <row r="2" spans="1:4" s="110" customFormat="1" ht="15.6" customHeight="1" x14ac:dyDescent="0.2">
      <c r="A2" s="316" t="s">
        <v>3</v>
      </c>
      <c r="B2" s="317"/>
      <c r="C2" s="111"/>
      <c r="D2" s="113"/>
    </row>
    <row r="3" spans="1:4" x14ac:dyDescent="0.2">
      <c r="A3" s="318"/>
      <c r="B3" s="319"/>
    </row>
    <row r="4" spans="1:4" ht="18" x14ac:dyDescent="0.2">
      <c r="A4" s="320" t="s">
        <v>231</v>
      </c>
      <c r="B4" s="321"/>
      <c r="C4" s="115"/>
    </row>
    <row r="5" spans="1:4" x14ac:dyDescent="0.2">
      <c r="A5" s="322" t="s">
        <v>12</v>
      </c>
      <c r="B5" s="323">
        <v>0.2</v>
      </c>
    </row>
    <row r="6" spans="1:4" x14ac:dyDescent="0.2">
      <c r="A6" s="322" t="s">
        <v>36</v>
      </c>
      <c r="B6" s="323">
        <v>1.4999999999999999E-2</v>
      </c>
    </row>
    <row r="7" spans="1:4" x14ac:dyDescent="0.2">
      <c r="A7" s="322" t="s">
        <v>37</v>
      </c>
      <c r="B7" s="323">
        <v>0.01</v>
      </c>
    </row>
    <row r="8" spans="1:4" x14ac:dyDescent="0.2">
      <c r="A8" s="322" t="s">
        <v>38</v>
      </c>
      <c r="B8" s="323">
        <v>2E-3</v>
      </c>
    </row>
    <row r="9" spans="1:4" x14ac:dyDescent="0.2">
      <c r="A9" s="322" t="s">
        <v>39</v>
      </c>
      <c r="B9" s="323">
        <v>6.0000000000000001E-3</v>
      </c>
    </row>
    <row r="10" spans="1:4" x14ac:dyDescent="0.2">
      <c r="A10" s="322" t="s">
        <v>232</v>
      </c>
      <c r="B10" s="323">
        <v>2.5000000000000001E-2</v>
      </c>
    </row>
    <row r="11" spans="1:4" x14ac:dyDescent="0.2">
      <c r="A11" s="322" t="s">
        <v>233</v>
      </c>
      <c r="B11" s="323">
        <v>0.03</v>
      </c>
    </row>
    <row r="12" spans="1:4" x14ac:dyDescent="0.2">
      <c r="A12" s="322" t="s">
        <v>13</v>
      </c>
      <c r="B12" s="323">
        <v>0.08</v>
      </c>
    </row>
    <row r="13" spans="1:4" x14ac:dyDescent="0.2">
      <c r="A13" s="324" t="s">
        <v>234</v>
      </c>
      <c r="B13" s="325">
        <f>SUM(B5:B12)</f>
        <v>0.36800000000000005</v>
      </c>
    </row>
    <row r="14" spans="1:4" x14ac:dyDescent="0.2">
      <c r="A14" s="110"/>
      <c r="B14" s="110"/>
    </row>
    <row r="15" spans="1:4" x14ac:dyDescent="0.2">
      <c r="A15" s="320" t="s">
        <v>235</v>
      </c>
      <c r="B15" s="326"/>
    </row>
    <row r="16" spans="1:4" x14ac:dyDescent="0.2">
      <c r="A16" s="322" t="s">
        <v>236</v>
      </c>
      <c r="B16" s="323">
        <v>6.8999999999999999E-3</v>
      </c>
    </row>
    <row r="17" spans="1:5" x14ac:dyDescent="0.2">
      <c r="A17" s="322" t="s">
        <v>237</v>
      </c>
      <c r="B17" s="323">
        <v>8.3299999999999999E-2</v>
      </c>
    </row>
    <row r="18" spans="1:5" x14ac:dyDescent="0.2">
      <c r="A18" s="322" t="s">
        <v>108</v>
      </c>
      <c r="B18" s="323">
        <v>5.9999999999999995E-4</v>
      </c>
    </row>
    <row r="19" spans="1:5" x14ac:dyDescent="0.2">
      <c r="A19" s="322" t="s">
        <v>238</v>
      </c>
      <c r="B19" s="323">
        <v>5.5999999999999999E-3</v>
      </c>
    </row>
    <row r="20" spans="1:5" x14ac:dyDescent="0.2">
      <c r="A20" s="322" t="s">
        <v>239</v>
      </c>
      <c r="B20" s="323">
        <v>8.9999999999999998E-4</v>
      </c>
    </row>
    <row r="21" spans="1:5" x14ac:dyDescent="0.2">
      <c r="A21" s="322" t="s">
        <v>240</v>
      </c>
      <c r="B21" s="323">
        <v>7.2999999999999995E-2</v>
      </c>
    </row>
    <row r="22" spans="1:5" x14ac:dyDescent="0.2">
      <c r="A22" s="322" t="s">
        <v>241</v>
      </c>
      <c r="B22" s="323">
        <v>2.0000000000000001E-4</v>
      </c>
    </row>
    <row r="23" spans="1:5" x14ac:dyDescent="0.2">
      <c r="A23" s="324" t="s">
        <v>234</v>
      </c>
      <c r="B23" s="325">
        <f>SUM(B16:B22)</f>
        <v>0.17050000000000001</v>
      </c>
    </row>
    <row r="24" spans="1:5" x14ac:dyDescent="0.2">
      <c r="A24" s="322"/>
      <c r="B24" s="323"/>
    </row>
    <row r="25" spans="1:5" ht="14.25" x14ac:dyDescent="0.2">
      <c r="A25" s="320" t="s">
        <v>242</v>
      </c>
      <c r="B25" s="326"/>
      <c r="E25" s="119"/>
    </row>
    <row r="26" spans="1:5" x14ac:dyDescent="0.2">
      <c r="A26" s="322" t="s">
        <v>243</v>
      </c>
      <c r="B26" s="323">
        <v>4.1799999999999997E-2</v>
      </c>
    </row>
    <row r="27" spans="1:5" x14ac:dyDescent="0.2">
      <c r="A27" s="322" t="s">
        <v>244</v>
      </c>
      <c r="B27" s="323">
        <v>1E-3</v>
      </c>
      <c r="D27" s="118"/>
    </row>
    <row r="28" spans="1:5" x14ac:dyDescent="0.2">
      <c r="A28" s="322" t="s">
        <v>40</v>
      </c>
      <c r="B28" s="323">
        <v>2.8199999999999999E-2</v>
      </c>
    </row>
    <row r="29" spans="1:5" x14ac:dyDescent="0.2">
      <c r="A29" s="322" t="s">
        <v>245</v>
      </c>
      <c r="B29" s="323">
        <v>3.4700000000000002E-2</v>
      </c>
    </row>
    <row r="30" spans="1:5" x14ac:dyDescent="0.2">
      <c r="A30" s="322" t="s">
        <v>246</v>
      </c>
      <c r="B30" s="323">
        <v>3.5000000000000001E-3</v>
      </c>
    </row>
    <row r="31" spans="1:5" x14ac:dyDescent="0.2">
      <c r="A31" s="324" t="s">
        <v>234</v>
      </c>
      <c r="B31" s="325">
        <f>SUM(B26:B30)</f>
        <v>0.10919999999999999</v>
      </c>
    </row>
    <row r="32" spans="1:5" x14ac:dyDescent="0.2">
      <c r="A32" s="322"/>
      <c r="B32" s="323"/>
    </row>
    <row r="33" spans="1:4" x14ac:dyDescent="0.2">
      <c r="A33" s="320" t="s">
        <v>247</v>
      </c>
      <c r="B33" s="323"/>
    </row>
    <row r="34" spans="1:4" x14ac:dyDescent="0.2">
      <c r="A34" s="322" t="s">
        <v>248</v>
      </c>
      <c r="B34" s="323">
        <v>6.2700000000000006E-2</v>
      </c>
    </row>
    <row r="35" spans="1:4" x14ac:dyDescent="0.2">
      <c r="A35" s="322" t="s">
        <v>249</v>
      </c>
      <c r="B35" s="323">
        <v>3.7000000000000002E-3</v>
      </c>
    </row>
    <row r="36" spans="1:4" ht="14.25" x14ac:dyDescent="0.2">
      <c r="A36" s="324" t="s">
        <v>234</v>
      </c>
      <c r="B36" s="325">
        <f>SUM(B34:B35)</f>
        <v>6.6400000000000001E-2</v>
      </c>
      <c r="C36" s="122"/>
      <c r="D36" s="116"/>
    </row>
    <row r="37" spans="1:4" ht="14.25" x14ac:dyDescent="0.2">
      <c r="A37" s="110"/>
      <c r="B37" s="110"/>
      <c r="C37" s="122"/>
      <c r="D37" s="116"/>
    </row>
    <row r="38" spans="1:4" ht="14.25" x14ac:dyDescent="0.2">
      <c r="A38" s="324" t="s">
        <v>250</v>
      </c>
      <c r="B38" s="325">
        <f>B13+B23+B31+B36</f>
        <v>0.71410000000000007</v>
      </c>
      <c r="C38" s="122"/>
      <c r="D38" s="116"/>
    </row>
    <row r="39" spans="1:4" ht="14.25" x14ac:dyDescent="0.2">
      <c r="A39" s="116"/>
      <c r="B39" s="116"/>
      <c r="C39" s="122"/>
      <c r="D39" s="116"/>
    </row>
    <row r="40" spans="1:4" ht="15" x14ac:dyDescent="0.2">
      <c r="A40" s="116"/>
      <c r="B40" s="120"/>
      <c r="C40" s="121"/>
      <c r="D40" s="116"/>
    </row>
    <row r="41" spans="1:4" ht="15" x14ac:dyDescent="0.2">
      <c r="A41" s="117"/>
      <c r="B41" s="120"/>
      <c r="C41" s="121"/>
      <c r="D41" s="117"/>
    </row>
    <row r="42" spans="1:4" ht="16.5" x14ac:dyDescent="0.2">
      <c r="A42" s="123"/>
    </row>
    <row r="43" spans="1:4" x14ac:dyDescent="0.2">
      <c r="A43" s="124"/>
      <c r="B43" s="125"/>
      <c r="C43" s="125"/>
    </row>
    <row r="44" spans="1:4" ht="14.25" x14ac:dyDescent="0.2">
      <c r="A44" s="116"/>
      <c r="B44" s="126"/>
      <c r="C44" s="125"/>
    </row>
    <row r="45" spans="1:4" ht="14.25" x14ac:dyDescent="0.2">
      <c r="A45" s="116"/>
      <c r="B45" s="126"/>
      <c r="C45" s="116"/>
    </row>
    <row r="46" spans="1:4" ht="14.25" x14ac:dyDescent="0.2">
      <c r="A46" s="116"/>
      <c r="B46" s="122"/>
      <c r="C46" s="125"/>
    </row>
    <row r="47" spans="1:4" ht="14.25" x14ac:dyDescent="0.2">
      <c r="A47" s="116"/>
      <c r="B47" s="126"/>
      <c r="C47" s="116"/>
    </row>
    <row r="48" spans="1:4" ht="14.25" x14ac:dyDescent="0.2">
      <c r="A48" s="116"/>
      <c r="B48" s="122"/>
      <c r="C48" s="125"/>
    </row>
    <row r="49" spans="1:3" ht="14.25" x14ac:dyDescent="0.2">
      <c r="A49" s="116"/>
      <c r="B49" s="126"/>
      <c r="C49" s="116"/>
    </row>
    <row r="50" spans="1:3" ht="14.25" x14ac:dyDescent="0.2">
      <c r="A50" s="116"/>
      <c r="B50" s="122"/>
      <c r="C50" s="125"/>
    </row>
    <row r="51" spans="1:3" ht="14.25" x14ac:dyDescent="0.2">
      <c r="A51" s="116"/>
      <c r="B51" s="126"/>
      <c r="C51" s="116"/>
    </row>
    <row r="52" spans="1:3" ht="14.25" x14ac:dyDescent="0.2">
      <c r="A52" s="116"/>
      <c r="B52" s="122"/>
      <c r="C52" s="125"/>
    </row>
    <row r="53" spans="1:3" ht="16.5" x14ac:dyDescent="0.2">
      <c r="A53" s="123"/>
    </row>
    <row r="56" spans="1:3" x14ac:dyDescent="0.2">
      <c r="A56" s="127"/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H20"/>
  <sheetViews>
    <sheetView workbookViewId="0">
      <selection activeCell="I24" sqref="I24"/>
    </sheetView>
  </sheetViews>
  <sheetFormatPr defaultRowHeight="12.75" x14ac:dyDescent="0.2"/>
  <cols>
    <col min="1" max="1" width="44.42578125" customWidth="1"/>
    <col min="2" max="2" width="9.140625" customWidth="1"/>
    <col min="3" max="3" width="22" customWidth="1"/>
    <col min="4" max="4" width="9.7109375" hidden="1" customWidth="1"/>
    <col min="5" max="5" width="8" style="28" hidden="1" customWidth="1"/>
    <col min="6" max="6" width="14.85546875" hidden="1" customWidth="1"/>
  </cols>
  <sheetData>
    <row r="1" spans="1:8" s="30" customFormat="1" ht="15" thickBot="1" x14ac:dyDescent="0.25">
      <c r="B1" s="4"/>
      <c r="C1" s="4"/>
      <c r="E1" s="31"/>
    </row>
    <row r="2" spans="1:8" ht="15.75" x14ac:dyDescent="0.2">
      <c r="A2" s="304" t="s">
        <v>109</v>
      </c>
      <c r="B2" s="305"/>
      <c r="C2" s="305"/>
      <c r="D2" s="305"/>
      <c r="E2" s="305"/>
      <c r="F2" s="306"/>
    </row>
    <row r="3" spans="1:8" ht="14.25" x14ac:dyDescent="0.2">
      <c r="A3" s="37" t="s">
        <v>21</v>
      </c>
      <c r="B3" s="38" t="s">
        <v>22</v>
      </c>
      <c r="C3" s="134">
        <v>0.05</v>
      </c>
      <c r="D3" s="47">
        <v>2.9700000000000001E-2</v>
      </c>
      <c r="E3" s="47">
        <v>5.0799999999999998E-2</v>
      </c>
      <c r="F3" s="48">
        <v>6.2700000000000006E-2</v>
      </c>
      <c r="G3" s="30"/>
      <c r="H3" s="30"/>
    </row>
    <row r="4" spans="1:8" ht="14.25" x14ac:dyDescent="0.2">
      <c r="A4" s="37" t="s">
        <v>23</v>
      </c>
      <c r="B4" s="38" t="s">
        <v>24</v>
      </c>
      <c r="C4" s="134">
        <v>2.5000000000000001E-3</v>
      </c>
      <c r="D4" s="47">
        <v>8.6E-3</v>
      </c>
      <c r="E4" s="47">
        <f>0.48%+0.85%</f>
        <v>1.3299999999999999E-2</v>
      </c>
      <c r="F4" s="48">
        <f>0.82%+0.89%</f>
        <v>1.7099999999999997E-2</v>
      </c>
      <c r="G4" s="30"/>
      <c r="H4" s="30"/>
    </row>
    <row r="5" spans="1:8" ht="14.25" x14ac:dyDescent="0.2">
      <c r="A5" s="37" t="s">
        <v>25</v>
      </c>
      <c r="B5" s="38" t="s">
        <v>26</v>
      </c>
      <c r="C5" s="134">
        <v>0.05</v>
      </c>
      <c r="D5" s="47">
        <v>7.8E-2</v>
      </c>
      <c r="E5" s="47">
        <v>0.1085</v>
      </c>
      <c r="F5" s="48">
        <v>0.13550000000000001</v>
      </c>
      <c r="G5" s="30"/>
      <c r="H5" s="30"/>
    </row>
    <row r="6" spans="1:8" ht="14.25" x14ac:dyDescent="0.2">
      <c r="A6" s="37" t="s">
        <v>27</v>
      </c>
      <c r="B6" s="38" t="s">
        <v>28</v>
      </c>
      <c r="C6" s="134">
        <v>0.01</v>
      </c>
      <c r="D6" s="47" t="s">
        <v>59</v>
      </c>
      <c r="E6" s="39">
        <v>0.11749999999999999</v>
      </c>
      <c r="F6" s="36"/>
      <c r="G6" s="30"/>
      <c r="H6" s="30"/>
    </row>
    <row r="7" spans="1:8" ht="14.25" x14ac:dyDescent="0.2">
      <c r="A7" s="37" t="s">
        <v>29</v>
      </c>
      <c r="B7" s="303" t="s">
        <v>30</v>
      </c>
      <c r="C7" s="134">
        <v>0.05</v>
      </c>
      <c r="D7" s="135" t="s">
        <v>41</v>
      </c>
      <c r="E7" s="41">
        <v>5</v>
      </c>
      <c r="F7" s="40"/>
      <c r="G7" s="30"/>
      <c r="H7" s="30"/>
    </row>
    <row r="8" spans="1:8" ht="14.25" x14ac:dyDescent="0.2">
      <c r="A8" s="37" t="s">
        <v>31</v>
      </c>
      <c r="B8" s="303"/>
      <c r="C8" s="134">
        <v>3.6499999999999998E-2</v>
      </c>
      <c r="D8" s="136"/>
      <c r="E8" s="66"/>
      <c r="F8" s="40"/>
      <c r="G8" s="30"/>
      <c r="H8" s="30"/>
    </row>
    <row r="9" spans="1:8" ht="14.25" x14ac:dyDescent="0.2">
      <c r="A9" s="129" t="s">
        <v>32</v>
      </c>
      <c r="B9" s="4"/>
      <c r="C9" s="130"/>
      <c r="D9" s="131"/>
      <c r="E9" s="132"/>
      <c r="F9" s="133"/>
      <c r="G9" s="30"/>
      <c r="H9" s="30"/>
    </row>
    <row r="10" spans="1:8" ht="15" thickBot="1" x14ac:dyDescent="0.25">
      <c r="A10" s="42" t="s">
        <v>33</v>
      </c>
      <c r="B10" s="43"/>
      <c r="C10" s="44"/>
      <c r="D10" s="35"/>
      <c r="E10" s="41"/>
      <c r="F10" s="40"/>
      <c r="G10" s="30"/>
      <c r="H10" s="30"/>
    </row>
    <row r="11" spans="1:8" ht="15.75" thickBot="1" x14ac:dyDescent="0.25">
      <c r="A11" s="45" t="s">
        <v>34</v>
      </c>
      <c r="B11" s="46"/>
      <c r="C11" s="95">
        <f>ROUND((((1+C3+C4)*(1+C5)*(1+C6))/(1-(C7+C8))-1),4)</f>
        <v>0.22189999999999999</v>
      </c>
      <c r="D11" s="49"/>
      <c r="E11" s="50"/>
      <c r="F11" s="51"/>
      <c r="G11" s="30"/>
      <c r="H11" s="30"/>
    </row>
    <row r="12" spans="1:8" ht="14.25" x14ac:dyDescent="0.2">
      <c r="A12" s="30"/>
      <c r="B12" s="30"/>
      <c r="C12" s="30"/>
      <c r="D12" s="30"/>
      <c r="E12" s="31"/>
      <c r="F12" s="30"/>
      <c r="G12" s="30"/>
      <c r="H12" s="30"/>
    </row>
    <row r="13" spans="1:8" ht="14.25" x14ac:dyDescent="0.2">
      <c r="A13" s="307" t="s">
        <v>50</v>
      </c>
      <c r="B13" s="307"/>
      <c r="C13" s="307"/>
      <c r="D13" s="307"/>
      <c r="E13" s="307"/>
      <c r="F13" s="307"/>
      <c r="G13" s="30"/>
      <c r="H13" s="30"/>
    </row>
    <row r="14" spans="1:8" ht="14.25" x14ac:dyDescent="0.2">
      <c r="A14" s="307" t="s">
        <v>51</v>
      </c>
      <c r="B14" s="307"/>
      <c r="C14" s="307"/>
      <c r="D14" s="307"/>
      <c r="E14" s="307"/>
      <c r="F14" s="307"/>
      <c r="G14" s="30"/>
      <c r="H14" s="30"/>
    </row>
    <row r="15" spans="1:8" ht="14.25" x14ac:dyDescent="0.2">
      <c r="A15" s="307" t="s">
        <v>52</v>
      </c>
      <c r="B15" s="307"/>
      <c r="C15" s="307"/>
      <c r="D15" s="307"/>
      <c r="E15" s="307"/>
      <c r="F15" s="307"/>
      <c r="G15" s="30"/>
      <c r="H15" s="30"/>
    </row>
    <row r="16" spans="1:8" ht="14.25" x14ac:dyDescent="0.2">
      <c r="A16" s="307" t="s">
        <v>53</v>
      </c>
      <c r="B16" s="307"/>
      <c r="C16" s="307"/>
      <c r="D16" s="307"/>
      <c r="E16" s="307"/>
      <c r="F16" s="307"/>
    </row>
    <row r="17" spans="1:6" ht="14.25" x14ac:dyDescent="0.2">
      <c r="A17" s="307" t="s">
        <v>54</v>
      </c>
      <c r="B17" s="307"/>
      <c r="C17" s="307"/>
      <c r="D17" s="307"/>
      <c r="E17" s="307"/>
      <c r="F17" s="307"/>
    </row>
    <row r="18" spans="1:6" ht="14.25" x14ac:dyDescent="0.2">
      <c r="A18" s="307" t="s">
        <v>55</v>
      </c>
      <c r="B18" s="307"/>
      <c r="C18" s="307"/>
      <c r="D18" s="307"/>
      <c r="E18" s="307"/>
      <c r="F18" s="307"/>
    </row>
    <row r="19" spans="1:6" ht="14.25" x14ac:dyDescent="0.2">
      <c r="A19" s="307" t="s">
        <v>56</v>
      </c>
      <c r="B19" s="307"/>
      <c r="C19" s="307"/>
      <c r="D19" s="307"/>
      <c r="E19" s="307"/>
      <c r="F19" s="307"/>
    </row>
    <row r="20" spans="1:6" ht="14.25" x14ac:dyDescent="0.2">
      <c r="A20" s="308"/>
      <c r="B20" s="308"/>
      <c r="C20" s="308"/>
      <c r="D20" s="308"/>
      <c r="E20" s="308"/>
      <c r="F20" s="308"/>
    </row>
  </sheetData>
  <mergeCells count="10">
    <mergeCell ref="B7:B8"/>
    <mergeCell ref="A2:F2"/>
    <mergeCell ref="A13:F13"/>
    <mergeCell ref="A14:F14"/>
    <mergeCell ref="A20:F20"/>
    <mergeCell ref="A15:F15"/>
    <mergeCell ref="A16:F16"/>
    <mergeCell ref="A17:F17"/>
    <mergeCell ref="A18:F18"/>
    <mergeCell ref="A19:F19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EFD79-1B09-4DAB-8D71-ED067F3F20F7}">
  <dimension ref="B1:D72"/>
  <sheetViews>
    <sheetView workbookViewId="0">
      <selection activeCell="D7" sqref="D7"/>
    </sheetView>
  </sheetViews>
  <sheetFormatPr defaultColWidth="9.140625" defaultRowHeight="15" x14ac:dyDescent="0.25"/>
  <cols>
    <col min="1" max="1" width="9.140625" style="137"/>
    <col min="2" max="2" width="26.28515625" style="137" bestFit="1" customWidth="1"/>
    <col min="3" max="3" width="13.140625" style="137" bestFit="1" customWidth="1"/>
    <col min="4" max="4" width="144.28515625" style="137" bestFit="1" customWidth="1"/>
    <col min="5" max="16384" width="9.140625" style="137"/>
  </cols>
  <sheetData>
    <row r="1" spans="2:4" ht="15.75" thickBot="1" x14ac:dyDescent="0.3"/>
    <row r="2" spans="2:4" x14ac:dyDescent="0.25">
      <c r="B2" s="309" t="s">
        <v>110</v>
      </c>
      <c r="C2" s="310"/>
      <c r="D2" s="311"/>
    </row>
    <row r="3" spans="2:4" x14ac:dyDescent="0.25">
      <c r="B3" s="138" t="s">
        <v>111</v>
      </c>
      <c r="C3" s="139" t="s">
        <v>35</v>
      </c>
      <c r="D3" s="140" t="s">
        <v>112</v>
      </c>
    </row>
    <row r="4" spans="2:4" x14ac:dyDescent="0.25">
      <c r="B4" s="177" t="s">
        <v>118</v>
      </c>
      <c r="C4" s="142">
        <v>3788.24</v>
      </c>
      <c r="D4" s="312" t="s">
        <v>128</v>
      </c>
    </row>
    <row r="5" spans="2:4" x14ac:dyDescent="0.25">
      <c r="B5" s="177" t="s">
        <v>119</v>
      </c>
      <c r="C5" s="142">
        <v>1685.85</v>
      </c>
      <c r="D5" s="312" t="s">
        <v>128</v>
      </c>
    </row>
    <row r="6" spans="2:4" x14ac:dyDescent="0.25">
      <c r="B6" s="177" t="s">
        <v>120</v>
      </c>
      <c r="C6" s="142">
        <v>3570.34</v>
      </c>
      <c r="D6" s="312" t="s">
        <v>229</v>
      </c>
    </row>
    <row r="7" spans="2:4" x14ac:dyDescent="0.25">
      <c r="B7" s="177" t="s">
        <v>121</v>
      </c>
      <c r="C7" s="142">
        <v>2115.63</v>
      </c>
      <c r="D7" s="312" t="s">
        <v>226</v>
      </c>
    </row>
    <row r="8" spans="2:4" x14ac:dyDescent="0.25">
      <c r="B8" s="177" t="s">
        <v>122</v>
      </c>
      <c r="C8" s="142">
        <v>2475.6</v>
      </c>
      <c r="D8" s="312" t="s">
        <v>226</v>
      </c>
    </row>
    <row r="9" spans="2:4" ht="15.75" thickBot="1" x14ac:dyDescent="0.3">
      <c r="B9" s="176" t="s">
        <v>123</v>
      </c>
      <c r="C9" s="141">
        <v>1518</v>
      </c>
      <c r="D9" s="179" t="s">
        <v>124</v>
      </c>
    </row>
    <row r="10" spans="2:4" ht="15.75" thickBot="1" x14ac:dyDescent="0.3"/>
    <row r="11" spans="2:4" x14ac:dyDescent="0.25">
      <c r="B11" s="309" t="s">
        <v>113</v>
      </c>
      <c r="C11" s="310"/>
      <c r="D11" s="311"/>
    </row>
    <row r="12" spans="2:4" x14ac:dyDescent="0.25">
      <c r="B12" s="138" t="s">
        <v>111</v>
      </c>
      <c r="C12" s="139" t="s">
        <v>35</v>
      </c>
      <c r="D12" s="140" t="s">
        <v>112</v>
      </c>
    </row>
    <row r="13" spans="2:4" x14ac:dyDescent="0.25">
      <c r="B13" s="154" t="s">
        <v>81</v>
      </c>
      <c r="C13" s="142">
        <v>150</v>
      </c>
      <c r="D13" s="178" t="s">
        <v>134</v>
      </c>
    </row>
    <row r="14" spans="2:4" x14ac:dyDescent="0.25">
      <c r="B14" s="202" t="s">
        <v>8</v>
      </c>
      <c r="C14" s="142">
        <v>54.8</v>
      </c>
      <c r="D14" s="178" t="s">
        <v>135</v>
      </c>
    </row>
    <row r="15" spans="2:4" x14ac:dyDescent="0.25">
      <c r="B15" s="203" t="s">
        <v>71</v>
      </c>
      <c r="C15" s="142">
        <v>43.65</v>
      </c>
      <c r="D15" s="178" t="s">
        <v>136</v>
      </c>
    </row>
    <row r="16" spans="2:4" x14ac:dyDescent="0.25">
      <c r="B16" s="203" t="s">
        <v>72</v>
      </c>
      <c r="C16" s="142">
        <v>38.9</v>
      </c>
      <c r="D16" s="178" t="s">
        <v>137</v>
      </c>
    </row>
    <row r="17" spans="2:4" x14ac:dyDescent="0.25">
      <c r="B17" s="154" t="s">
        <v>133</v>
      </c>
      <c r="C17" s="191">
        <v>66</v>
      </c>
      <c r="D17" s="199" t="s">
        <v>138</v>
      </c>
    </row>
    <row r="18" spans="2:4" x14ac:dyDescent="0.25">
      <c r="B18" s="154" t="s">
        <v>61</v>
      </c>
      <c r="C18" s="191">
        <v>14</v>
      </c>
      <c r="D18" s="199" t="s">
        <v>140</v>
      </c>
    </row>
    <row r="19" spans="2:4" x14ac:dyDescent="0.25">
      <c r="B19" s="204" t="s">
        <v>65</v>
      </c>
      <c r="C19" s="191">
        <v>22.9</v>
      </c>
      <c r="D19" s="200" t="s">
        <v>139</v>
      </c>
    </row>
    <row r="20" spans="2:4" x14ac:dyDescent="0.25">
      <c r="B20" s="154" t="s">
        <v>66</v>
      </c>
      <c r="C20" s="191">
        <v>16.600000000000001</v>
      </c>
      <c r="D20" s="200"/>
    </row>
    <row r="21" spans="2:4" x14ac:dyDescent="0.25">
      <c r="B21" s="203" t="s">
        <v>73</v>
      </c>
      <c r="C21" s="191">
        <v>24.25</v>
      </c>
      <c r="D21" s="200" t="s">
        <v>141</v>
      </c>
    </row>
    <row r="22" spans="2:4" x14ac:dyDescent="0.25">
      <c r="B22" s="154" t="s">
        <v>82</v>
      </c>
      <c r="C22" s="191">
        <v>21.2</v>
      </c>
      <c r="D22" s="199" t="s">
        <v>142</v>
      </c>
    </row>
    <row r="23" spans="2:4" x14ac:dyDescent="0.25">
      <c r="B23" s="154" t="s">
        <v>62</v>
      </c>
      <c r="C23" s="191">
        <v>17.989999999999998</v>
      </c>
      <c r="D23" s="200" t="s">
        <v>143</v>
      </c>
    </row>
    <row r="24" spans="2:4" x14ac:dyDescent="0.25">
      <c r="B24" s="154" t="s">
        <v>114</v>
      </c>
      <c r="C24" s="191">
        <v>15.5</v>
      </c>
      <c r="D24" s="199" t="s">
        <v>144</v>
      </c>
    </row>
    <row r="25" spans="2:4" ht="15.75" thickBot="1" x14ac:dyDescent="0.3">
      <c r="B25" s="188" t="s">
        <v>132</v>
      </c>
      <c r="C25" s="141">
        <v>3.75</v>
      </c>
      <c r="D25" s="179" t="s">
        <v>145</v>
      </c>
    </row>
    <row r="26" spans="2:4" ht="15.75" thickBot="1" x14ac:dyDescent="0.3">
      <c r="B26" s="143"/>
      <c r="C26" s="144"/>
      <c r="D26" s="143"/>
    </row>
    <row r="27" spans="2:4" x14ac:dyDescent="0.25">
      <c r="B27" s="309" t="s">
        <v>146</v>
      </c>
      <c r="C27" s="310"/>
      <c r="D27" s="311"/>
    </row>
    <row r="28" spans="2:4" x14ac:dyDescent="0.25">
      <c r="B28" s="138" t="s">
        <v>111</v>
      </c>
      <c r="C28" s="139" t="s">
        <v>35</v>
      </c>
      <c r="D28" s="201" t="s">
        <v>112</v>
      </c>
    </row>
    <row r="29" spans="2:4" x14ac:dyDescent="0.25">
      <c r="B29" s="205" t="s">
        <v>150</v>
      </c>
      <c r="C29" s="191">
        <v>275000</v>
      </c>
      <c r="D29" s="199" t="s">
        <v>183</v>
      </c>
    </row>
    <row r="30" spans="2:4" x14ac:dyDescent="0.25">
      <c r="B30" s="205" t="s">
        <v>151</v>
      </c>
      <c r="C30" s="191">
        <v>38000</v>
      </c>
      <c r="D30" s="199" t="s">
        <v>157</v>
      </c>
    </row>
    <row r="31" spans="2:4" x14ac:dyDescent="0.25">
      <c r="B31" s="205" t="s">
        <v>152</v>
      </c>
      <c r="C31" s="191">
        <v>168990</v>
      </c>
      <c r="D31" s="199" t="s">
        <v>182</v>
      </c>
    </row>
    <row r="32" spans="2:4" x14ac:dyDescent="0.25">
      <c r="B32" s="205" t="s">
        <v>153</v>
      </c>
      <c r="C32" s="191">
        <v>864</v>
      </c>
      <c r="D32" s="199" t="s">
        <v>158</v>
      </c>
    </row>
    <row r="33" spans="2:4" x14ac:dyDescent="0.25">
      <c r="B33" s="207" t="s">
        <v>84</v>
      </c>
      <c r="C33" s="191">
        <v>58.99</v>
      </c>
      <c r="D33" s="199" t="s">
        <v>160</v>
      </c>
    </row>
    <row r="34" spans="2:4" x14ac:dyDescent="0.25">
      <c r="B34" s="208" t="s">
        <v>154</v>
      </c>
      <c r="C34" s="191">
        <v>169.49</v>
      </c>
      <c r="D34" s="199" t="s">
        <v>161</v>
      </c>
    </row>
    <row r="35" spans="2:4" x14ac:dyDescent="0.25">
      <c r="B35" s="209" t="s">
        <v>86</v>
      </c>
      <c r="C35" s="191">
        <v>450</v>
      </c>
      <c r="D35" s="199" t="s">
        <v>163</v>
      </c>
    </row>
    <row r="36" spans="2:4" x14ac:dyDescent="0.25">
      <c r="B36" s="209" t="s">
        <v>87</v>
      </c>
      <c r="C36" s="191">
        <v>26</v>
      </c>
      <c r="D36" s="199" t="s">
        <v>162</v>
      </c>
    </row>
    <row r="37" spans="2:4" x14ac:dyDescent="0.25">
      <c r="B37" s="209" t="s">
        <v>165</v>
      </c>
      <c r="C37" s="191">
        <v>59.75</v>
      </c>
      <c r="D37" s="206" t="s">
        <v>164</v>
      </c>
    </row>
    <row r="38" spans="2:4" x14ac:dyDescent="0.25">
      <c r="B38" s="208" t="s">
        <v>89</v>
      </c>
      <c r="C38" s="191">
        <v>44.9</v>
      </c>
      <c r="D38" s="199" t="s">
        <v>166</v>
      </c>
    </row>
    <row r="39" spans="2:4" x14ac:dyDescent="0.25">
      <c r="B39" s="208" t="s">
        <v>90</v>
      </c>
      <c r="C39" s="191">
        <v>42.05</v>
      </c>
      <c r="D39" s="199" t="s">
        <v>167</v>
      </c>
    </row>
    <row r="40" spans="2:4" x14ac:dyDescent="0.25">
      <c r="B40" s="208" t="s">
        <v>91</v>
      </c>
      <c r="C40" s="191">
        <v>26</v>
      </c>
      <c r="D40" s="199" t="s">
        <v>171</v>
      </c>
    </row>
    <row r="41" spans="2:4" x14ac:dyDescent="0.25">
      <c r="B41" s="208" t="s">
        <v>92</v>
      </c>
      <c r="C41" s="191">
        <v>39.9</v>
      </c>
      <c r="D41" s="199" t="s">
        <v>172</v>
      </c>
    </row>
    <row r="42" spans="2:4" x14ac:dyDescent="0.25">
      <c r="B42" s="208" t="s">
        <v>93</v>
      </c>
      <c r="C42" s="191">
        <v>44.8</v>
      </c>
      <c r="D42" s="199" t="s">
        <v>173</v>
      </c>
    </row>
    <row r="43" spans="2:4" x14ac:dyDescent="0.25">
      <c r="B43" s="208" t="s">
        <v>94</v>
      </c>
      <c r="C43" s="191">
        <v>51.3</v>
      </c>
      <c r="D43" s="199" t="s">
        <v>174</v>
      </c>
    </row>
    <row r="44" spans="2:4" ht="25.5" x14ac:dyDescent="0.25">
      <c r="B44" s="208" t="s">
        <v>95</v>
      </c>
      <c r="C44" s="191">
        <v>24.9</v>
      </c>
      <c r="D44" s="199" t="s">
        <v>175</v>
      </c>
    </row>
    <row r="45" spans="2:4" ht="25.5" x14ac:dyDescent="0.25">
      <c r="B45" s="208" t="s">
        <v>96</v>
      </c>
      <c r="C45" s="191">
        <v>515.99</v>
      </c>
      <c r="D45" s="199" t="s">
        <v>176</v>
      </c>
    </row>
    <row r="46" spans="2:4" x14ac:dyDescent="0.25">
      <c r="B46" s="208" t="s">
        <v>97</v>
      </c>
      <c r="C46" s="191">
        <v>39.9</v>
      </c>
      <c r="D46" s="199" t="s">
        <v>177</v>
      </c>
    </row>
    <row r="47" spans="2:4" x14ac:dyDescent="0.25">
      <c r="B47" s="208" t="s">
        <v>98</v>
      </c>
      <c r="C47" s="191">
        <v>14</v>
      </c>
      <c r="D47" s="199" t="s">
        <v>178</v>
      </c>
    </row>
    <row r="48" spans="2:4" ht="25.5" x14ac:dyDescent="0.25">
      <c r="B48" s="208" t="s">
        <v>99</v>
      </c>
      <c r="C48" s="191">
        <v>18.7</v>
      </c>
      <c r="D48" s="199" t="s">
        <v>179</v>
      </c>
    </row>
    <row r="49" spans="2:4" x14ac:dyDescent="0.25">
      <c r="B49" s="208" t="s">
        <v>155</v>
      </c>
      <c r="C49" s="191">
        <v>88.4</v>
      </c>
      <c r="D49" s="199" t="s">
        <v>180</v>
      </c>
    </row>
    <row r="50" spans="2:4" ht="26.25" thickBot="1" x14ac:dyDescent="0.3">
      <c r="B50" s="210" t="s">
        <v>156</v>
      </c>
      <c r="C50" s="141">
        <v>15.99</v>
      </c>
      <c r="D50" s="179" t="s">
        <v>181</v>
      </c>
    </row>
    <row r="51" spans="2:4" x14ac:dyDescent="0.25">
      <c r="B51" s="143"/>
      <c r="C51" s="144"/>
      <c r="D51" s="143"/>
    </row>
    <row r="52" spans="2:4" x14ac:dyDescent="0.25">
      <c r="B52" s="143"/>
      <c r="C52" s="144"/>
      <c r="D52" s="143"/>
    </row>
    <row r="53" spans="2:4" ht="15.75" thickBot="1" x14ac:dyDescent="0.3">
      <c r="B53" s="143"/>
      <c r="C53" s="144"/>
      <c r="D53" s="143"/>
    </row>
    <row r="54" spans="2:4" x14ac:dyDescent="0.25">
      <c r="B54" s="309" t="s">
        <v>115</v>
      </c>
      <c r="C54" s="310"/>
      <c r="D54" s="311"/>
    </row>
    <row r="55" spans="2:4" x14ac:dyDescent="0.25">
      <c r="B55" s="138" t="s">
        <v>111</v>
      </c>
      <c r="C55" s="139" t="s">
        <v>35</v>
      </c>
      <c r="D55" s="140" t="s">
        <v>112</v>
      </c>
    </row>
    <row r="56" spans="2:4" x14ac:dyDescent="0.25">
      <c r="B56" s="246" t="s">
        <v>184</v>
      </c>
      <c r="C56" s="191">
        <v>6.44</v>
      </c>
      <c r="D56" s="206" t="s">
        <v>196</v>
      </c>
    </row>
    <row r="57" spans="2:4" x14ac:dyDescent="0.25">
      <c r="B57" s="231" t="s">
        <v>185</v>
      </c>
      <c r="C57" s="191">
        <v>32</v>
      </c>
      <c r="D57" s="247" t="s">
        <v>197</v>
      </c>
    </row>
    <row r="58" spans="2:4" x14ac:dyDescent="0.25">
      <c r="B58" s="231" t="s">
        <v>186</v>
      </c>
      <c r="C58" s="191">
        <v>39</v>
      </c>
      <c r="D58" s="247" t="s">
        <v>198</v>
      </c>
    </row>
    <row r="59" spans="2:4" x14ac:dyDescent="0.25">
      <c r="B59" s="231" t="s">
        <v>187</v>
      </c>
      <c r="C59" s="191">
        <v>35</v>
      </c>
      <c r="D59" s="247" t="s">
        <v>199</v>
      </c>
    </row>
    <row r="60" spans="2:4" ht="15.75" thickBot="1" x14ac:dyDescent="0.3">
      <c r="B60" s="248" t="s">
        <v>188</v>
      </c>
      <c r="C60" s="141">
        <v>80</v>
      </c>
      <c r="D60" s="249" t="s">
        <v>205</v>
      </c>
    </row>
    <row r="61" spans="2:4" ht="15.75" thickBot="1" x14ac:dyDescent="0.3"/>
    <row r="62" spans="2:4" x14ac:dyDescent="0.25">
      <c r="B62" s="309" t="s">
        <v>207</v>
      </c>
      <c r="C62" s="310"/>
      <c r="D62" s="311"/>
    </row>
    <row r="63" spans="2:4" x14ac:dyDescent="0.25">
      <c r="B63" s="138" t="s">
        <v>111</v>
      </c>
      <c r="C63" s="139" t="s">
        <v>214</v>
      </c>
      <c r="D63" s="145" t="s">
        <v>112</v>
      </c>
    </row>
    <row r="64" spans="2:4" x14ac:dyDescent="0.25">
      <c r="B64" s="152" t="s">
        <v>208</v>
      </c>
      <c r="C64" s="251">
        <v>0.01</v>
      </c>
      <c r="D64" s="250" t="s">
        <v>211</v>
      </c>
    </row>
    <row r="65" spans="2:4" x14ac:dyDescent="0.25">
      <c r="B65" s="152" t="s">
        <v>209</v>
      </c>
      <c r="C65" s="251">
        <v>0.01</v>
      </c>
      <c r="D65" s="250" t="s">
        <v>211</v>
      </c>
    </row>
    <row r="66" spans="2:4" x14ac:dyDescent="0.25">
      <c r="B66" s="152" t="s">
        <v>210</v>
      </c>
      <c r="C66" s="251">
        <v>0.01</v>
      </c>
      <c r="D66" s="250" t="s">
        <v>211</v>
      </c>
    </row>
    <row r="67" spans="2:4" x14ac:dyDescent="0.25">
      <c r="B67" s="152" t="s">
        <v>102</v>
      </c>
      <c r="C67" s="252">
        <v>109.27</v>
      </c>
      <c r="D67" s="199" t="s">
        <v>221</v>
      </c>
    </row>
    <row r="68" spans="2:4" ht="15.75" thickBot="1" x14ac:dyDescent="0.3">
      <c r="B68" s="263" t="s">
        <v>101</v>
      </c>
      <c r="C68" s="264">
        <v>5000</v>
      </c>
      <c r="D68" s="179" t="s">
        <v>213</v>
      </c>
    </row>
    <row r="69" spans="2:4" x14ac:dyDescent="0.25">
      <c r="B69" s="146"/>
      <c r="D69" s="147"/>
    </row>
    <row r="71" spans="2:4" x14ac:dyDescent="0.25">
      <c r="C71" s="148"/>
    </row>
    <row r="72" spans="2:4" x14ac:dyDescent="0.25">
      <c r="C72" s="148"/>
    </row>
  </sheetData>
  <mergeCells count="5">
    <mergeCell ref="B2:D2"/>
    <mergeCell ref="B11:D11"/>
    <mergeCell ref="B54:D54"/>
    <mergeCell ref="B62:D62"/>
    <mergeCell ref="B27:D27"/>
  </mergeCells>
  <hyperlinks>
    <hyperlink ref="D9" r:id="rId1" xr:uid="{C5B52006-50A4-4B79-9F1B-922EFFB44239}"/>
    <hyperlink ref="D14" r:id="rId2" xr:uid="{D56DEB08-1DA9-4E84-90B9-5C1A1B615A41}"/>
    <hyperlink ref="D13" r:id="rId3" xr:uid="{ACB76407-4F9E-4FDC-9C88-0EF14F3FA048}"/>
    <hyperlink ref="D16" r:id="rId4" xr:uid="{8D771A13-FC17-4C45-BBA3-D6EC5554002F}"/>
    <hyperlink ref="D25" r:id="rId5" xr:uid="{7F8D39BD-C8D1-4EC4-82FD-80370E1F9F51}"/>
    <hyperlink ref="D5" r:id="rId6" xr:uid="{D5423564-6886-499C-B1CC-32CE10163610}"/>
    <hyperlink ref="D7" r:id="rId7" xr:uid="{9CA26B7D-D900-41A1-8E1A-D801D3813606}"/>
    <hyperlink ref="D8" r:id="rId8" xr:uid="{A9AC6C03-341D-478C-9BE4-1BAA1C577539}"/>
    <hyperlink ref="D15" r:id="rId9" xr:uid="{2AE0E780-A4F6-44D0-96F5-FAD79302DC38}"/>
    <hyperlink ref="D17" r:id="rId10" xr:uid="{0B4E5FC3-44C2-4831-9E7D-391A3938BEEA}"/>
    <hyperlink ref="D18" r:id="rId11" xr:uid="{2AF73EDD-D730-48F8-ACB3-5BC1A3AAE208}"/>
    <hyperlink ref="D22" r:id="rId12" xr:uid="{874E0DD2-8F13-45D3-B1D2-F4EACD1A793A}"/>
    <hyperlink ref="D24" r:id="rId13" xr:uid="{F14A00C8-35D5-405B-A75B-F8196D880CB6}"/>
    <hyperlink ref="D29" r:id="rId14" xr:uid="{BB1DFA09-7FAA-42AB-B123-D7C67E0FE4B3}"/>
    <hyperlink ref="D30" r:id="rId15" xr:uid="{A70902B5-D22A-406C-8E94-6911FE02D62A}"/>
    <hyperlink ref="D31" r:id="rId16" xr:uid="{6C88F222-B9EB-437A-A6BF-1E7D22A5F0AB}"/>
    <hyperlink ref="D32" r:id="rId17" xr:uid="{086034B3-1A44-4729-8488-D9DFB6F6AECE}"/>
    <hyperlink ref="D33" r:id="rId18" xr:uid="{BEFC45F4-968A-4356-B83C-BEA790DF8088}"/>
    <hyperlink ref="D34" r:id="rId19" xr:uid="{FC6B4CB4-9441-4C36-83AC-E96494F3277A}"/>
    <hyperlink ref="D36" r:id="rId20" xr:uid="{96967005-D5A4-4C2D-90FB-C54F5816F62B}"/>
    <hyperlink ref="D35" r:id="rId21" xr:uid="{541E68B1-77F4-4A9E-8899-F635AFAC270F}"/>
    <hyperlink ref="D38" r:id="rId22" xr:uid="{44FAF0AD-AF31-4EAA-B6BA-9A7C45E0D79D}"/>
    <hyperlink ref="D39" r:id="rId23" xr:uid="{BE2CDE55-5583-4A26-A7B7-83F376F7BB2C}"/>
    <hyperlink ref="D40" r:id="rId24" xr:uid="{E0DD78D3-95EB-415C-AE63-66C5B6253BBB}"/>
    <hyperlink ref="D41" r:id="rId25" xr:uid="{EB983DD3-7C59-4FF0-9A10-03975FD489FA}"/>
    <hyperlink ref="D42" r:id="rId26" xr:uid="{AD043EEC-622E-4A68-8D88-0B5B35134903}"/>
    <hyperlink ref="D43" r:id="rId27" xr:uid="{2ACBC6CB-94BC-49EA-8CED-3BF33DBC4F5F}"/>
    <hyperlink ref="D44" r:id="rId28" xr:uid="{09407BD3-FFB4-4370-B073-7F92E079DBC5}"/>
    <hyperlink ref="D45" r:id="rId29" xr:uid="{08ACCA7A-D168-41EB-890C-2246878772B4}"/>
    <hyperlink ref="D46" r:id="rId30" xr:uid="{6B1E8EA4-48A6-4A65-9480-BCB784742FD9}"/>
    <hyperlink ref="D47" r:id="rId31" xr:uid="{55330EB7-9DB0-45F4-80D5-4D561E7089FC}"/>
    <hyperlink ref="D48" r:id="rId32" xr:uid="{05E3F50F-61B2-4237-9F34-657DD5D7CD52}"/>
    <hyperlink ref="D49" r:id="rId33" xr:uid="{365B1C78-885E-4796-8F2A-9BD8EBFADAE7}"/>
    <hyperlink ref="D50" r:id="rId34" xr:uid="{C947B261-6D7E-427C-983A-CABF6FAEA783}"/>
    <hyperlink ref="D68" r:id="rId35" xr:uid="{DCFF50EC-B9E0-4BAC-B9FE-01E389FCBFBC}"/>
    <hyperlink ref="D67" r:id="rId36" xr:uid="{58B36DA8-626B-44E8-9E0B-A39ADCC91A46}"/>
    <hyperlink ref="D4" r:id="rId37" xr:uid="{F402273A-3A1B-48F9-880B-3B4CB628F7CD}"/>
    <hyperlink ref="D6" r:id="rId38" xr:uid="{378EEA14-1A29-436F-A30C-7CBB3AC2F498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1. Limpeza Urbana</vt:lpstr>
      <vt:lpstr>2. Encargos Sociais</vt:lpstr>
      <vt:lpstr>3. BDI</vt:lpstr>
      <vt:lpstr>4. Referências</vt:lpstr>
      <vt:lpstr>'2. Encargos Sociais'!Area_de_impressao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Marcela Abigail Bertola Abade</cp:lastModifiedBy>
  <cp:lastPrinted>2025-06-12T12:44:19Z</cp:lastPrinted>
  <dcterms:created xsi:type="dcterms:W3CDTF">2000-12-13T10:02:50Z</dcterms:created>
  <dcterms:modified xsi:type="dcterms:W3CDTF">2025-09-23T14:43:23Z</dcterms:modified>
</cp:coreProperties>
</file>