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umerto.brandao\Documents\02_Elaboração de Projetos\CAPS - Centro de Assistência Psicossocial\02_PLANEJAMENTO\P00\"/>
    </mc:Choice>
  </mc:AlternateContent>
  <bookViews>
    <workbookView xWindow="-120" yWindow="-120" windowWidth="20730" windowHeight="11040"/>
  </bookViews>
  <sheets>
    <sheet name="PO" sheetId="6" r:id="rId1"/>
    <sheet name="Quantitativos" sheetId="8" r:id="rId2"/>
    <sheet name="CPU" sheetId="5" r:id="rId3"/>
    <sheet name="Insumos_MAT" sheetId="2" r:id="rId4"/>
    <sheet name="Insumos_MO" sheetId="4" r:id="rId5"/>
    <sheet name="Cotações" sheetId="1" r:id="rId6"/>
    <sheet name="Cronograma" sheetId="7" r:id="rId7"/>
  </sheets>
  <definedNames>
    <definedName name="_xlnm._FilterDatabase" localSheetId="2" hidden="1">CPU!$B$7:$P$8</definedName>
    <definedName name="_xlnm.Print_Area" localSheetId="5">Cotações!$A$1:$G$27</definedName>
    <definedName name="_xlnm.Print_Area" localSheetId="2">CPU!$A$1:$P$102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7" l="1"/>
  <c r="P9" i="7"/>
  <c r="N9" i="7"/>
  <c r="L9" i="7"/>
  <c r="J9" i="7"/>
  <c r="H9" i="7"/>
  <c r="F9" i="7"/>
  <c r="D9" i="7"/>
  <c r="I145" i="6" l="1"/>
  <c r="H178" i="6"/>
  <c r="H176" i="6"/>
  <c r="H137" i="6"/>
  <c r="H136" i="6"/>
  <c r="H133" i="6"/>
  <c r="H132" i="6"/>
  <c r="H131" i="6"/>
  <c r="H67" i="6"/>
  <c r="H64" i="6"/>
  <c r="H60" i="6"/>
  <c r="H59" i="6"/>
  <c r="H58" i="6"/>
  <c r="H52" i="6"/>
  <c r="H51" i="6"/>
  <c r="H50" i="6"/>
  <c r="H49" i="6"/>
  <c r="H47" i="6"/>
  <c r="H44" i="6"/>
  <c r="H43" i="6"/>
  <c r="H38" i="6"/>
  <c r="H37" i="6"/>
  <c r="H34" i="6"/>
  <c r="H33" i="6"/>
  <c r="H30" i="6"/>
  <c r="H29" i="6"/>
  <c r="H28" i="6"/>
  <c r="H27" i="6"/>
  <c r="H26" i="6"/>
  <c r="H22" i="6"/>
  <c r="H15" i="6"/>
  <c r="D10" i="8" l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9" i="7"/>
  <c r="C10" i="7" l="1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9" i="7"/>
  <c r="K184" i="6"/>
  <c r="G184" i="6"/>
  <c r="F184" i="6"/>
  <c r="E184" i="6"/>
  <c r="K183" i="6"/>
  <c r="G183" i="6"/>
  <c r="F183" i="6"/>
  <c r="E183" i="6"/>
  <c r="K182" i="6"/>
  <c r="G182" i="6"/>
  <c r="F182" i="6"/>
  <c r="E182" i="6"/>
  <c r="K181" i="6"/>
  <c r="G181" i="6"/>
  <c r="F181" i="6"/>
  <c r="E181" i="6"/>
  <c r="K180" i="6"/>
  <c r="G180" i="6"/>
  <c r="F180" i="6"/>
  <c r="E180" i="6"/>
  <c r="K179" i="6"/>
  <c r="G179" i="6"/>
  <c r="F179" i="6"/>
  <c r="E179" i="6"/>
  <c r="K178" i="6"/>
  <c r="G178" i="6"/>
  <c r="F178" i="6"/>
  <c r="E178" i="6"/>
  <c r="K177" i="6"/>
  <c r="I177" i="6"/>
  <c r="G177" i="6"/>
  <c r="F177" i="6"/>
  <c r="E177" i="6"/>
  <c r="K174" i="6"/>
  <c r="G174" i="6"/>
  <c r="F174" i="6"/>
  <c r="E174" i="6"/>
  <c r="K173" i="6"/>
  <c r="G173" i="6"/>
  <c r="F173" i="6"/>
  <c r="E173" i="6"/>
  <c r="K172" i="6"/>
  <c r="G172" i="6"/>
  <c r="F172" i="6"/>
  <c r="E172" i="6"/>
  <c r="K171" i="6"/>
  <c r="G171" i="6"/>
  <c r="F171" i="6"/>
  <c r="E171" i="6"/>
  <c r="K170" i="6"/>
  <c r="G170" i="6"/>
  <c r="F170" i="6"/>
  <c r="E170" i="6"/>
  <c r="K163" i="6"/>
  <c r="G163" i="6"/>
  <c r="F163" i="6"/>
  <c r="E163" i="6"/>
  <c r="K162" i="6"/>
  <c r="G162" i="6"/>
  <c r="F162" i="6"/>
  <c r="E162" i="6"/>
  <c r="K161" i="6"/>
  <c r="G161" i="6"/>
  <c r="F161" i="6"/>
  <c r="E161" i="6"/>
  <c r="K160" i="6"/>
  <c r="G160" i="6"/>
  <c r="F160" i="6"/>
  <c r="E160" i="6"/>
  <c r="K159" i="6"/>
  <c r="G159" i="6"/>
  <c r="F159" i="6"/>
  <c r="E159" i="6"/>
  <c r="K176" i="6"/>
  <c r="G176" i="6"/>
  <c r="F176" i="6"/>
  <c r="E176" i="6"/>
  <c r="K169" i="6"/>
  <c r="G169" i="6"/>
  <c r="F169" i="6"/>
  <c r="E169" i="6"/>
  <c r="K167" i="6"/>
  <c r="G167" i="6"/>
  <c r="F167" i="6"/>
  <c r="E167" i="6"/>
  <c r="K166" i="6"/>
  <c r="G166" i="6"/>
  <c r="F166" i="6"/>
  <c r="E166" i="6"/>
  <c r="K165" i="6"/>
  <c r="G165" i="6"/>
  <c r="F165" i="6"/>
  <c r="E165" i="6"/>
  <c r="K158" i="6"/>
  <c r="G158" i="6"/>
  <c r="F158" i="6"/>
  <c r="E158" i="6"/>
  <c r="K156" i="6"/>
  <c r="G156" i="6"/>
  <c r="F156" i="6"/>
  <c r="E156" i="6"/>
  <c r="K155" i="6"/>
  <c r="G155" i="6"/>
  <c r="F155" i="6"/>
  <c r="E155" i="6"/>
  <c r="K154" i="6"/>
  <c r="G154" i="6"/>
  <c r="F154" i="6"/>
  <c r="E154" i="6"/>
  <c r="K153" i="6"/>
  <c r="G153" i="6"/>
  <c r="F153" i="6"/>
  <c r="E153" i="6"/>
  <c r="K152" i="6"/>
  <c r="G152" i="6"/>
  <c r="F152" i="6"/>
  <c r="E152" i="6"/>
  <c r="K147" i="6"/>
  <c r="I147" i="6"/>
  <c r="H147" i="6"/>
  <c r="G147" i="6"/>
  <c r="F147" i="6"/>
  <c r="E147" i="6"/>
  <c r="D147" i="6"/>
  <c r="K146" i="6"/>
  <c r="G146" i="6"/>
  <c r="F146" i="6"/>
  <c r="E146" i="6"/>
  <c r="K145" i="6"/>
  <c r="G145" i="6"/>
  <c r="F145" i="6"/>
  <c r="E145" i="6"/>
  <c r="K144" i="6"/>
  <c r="G144" i="6"/>
  <c r="F144" i="6"/>
  <c r="E144" i="6"/>
  <c r="K143" i="6"/>
  <c r="G143" i="6"/>
  <c r="F143" i="6"/>
  <c r="E143" i="6"/>
  <c r="K142" i="6"/>
  <c r="G142" i="6"/>
  <c r="F142" i="6"/>
  <c r="E142" i="6"/>
  <c r="K136" i="6"/>
  <c r="G136" i="6"/>
  <c r="F136" i="6"/>
  <c r="E136" i="6"/>
  <c r="K135" i="6"/>
  <c r="H135" i="6"/>
  <c r="G135" i="6"/>
  <c r="F135" i="6"/>
  <c r="E135" i="6"/>
  <c r="I135" i="6" s="1"/>
  <c r="D135" i="6"/>
  <c r="K134" i="6"/>
  <c r="G134" i="6"/>
  <c r="F134" i="6"/>
  <c r="E134" i="6"/>
  <c r="K133" i="6"/>
  <c r="G133" i="6"/>
  <c r="F133" i="6"/>
  <c r="E133" i="6"/>
  <c r="K132" i="6"/>
  <c r="G132" i="6"/>
  <c r="F132" i="6"/>
  <c r="E132" i="6"/>
  <c r="K131" i="6"/>
  <c r="G131" i="6"/>
  <c r="F131" i="6"/>
  <c r="E131" i="6"/>
  <c r="K130" i="6"/>
  <c r="G130" i="6"/>
  <c r="F130" i="6"/>
  <c r="E130" i="6"/>
  <c r="K129" i="6"/>
  <c r="G129" i="6"/>
  <c r="F129" i="6"/>
  <c r="E129" i="6"/>
  <c r="K125" i="6"/>
  <c r="G125" i="6"/>
  <c r="F125" i="6"/>
  <c r="E125" i="6"/>
  <c r="K124" i="6"/>
  <c r="G124" i="6"/>
  <c r="F124" i="6"/>
  <c r="E124" i="6"/>
  <c r="K123" i="6"/>
  <c r="G123" i="6"/>
  <c r="F123" i="6"/>
  <c r="E123" i="6"/>
  <c r="K120" i="6"/>
  <c r="G120" i="6"/>
  <c r="F120" i="6"/>
  <c r="E120" i="6"/>
  <c r="K119" i="6"/>
  <c r="G119" i="6"/>
  <c r="F119" i="6"/>
  <c r="E119" i="6"/>
  <c r="K118" i="6"/>
  <c r="G118" i="6"/>
  <c r="F118" i="6"/>
  <c r="E118" i="6"/>
  <c r="K139" i="6"/>
  <c r="G139" i="6"/>
  <c r="F139" i="6"/>
  <c r="E139" i="6"/>
  <c r="K148" i="6"/>
  <c r="G148" i="6"/>
  <c r="F148" i="6"/>
  <c r="E148" i="6"/>
  <c r="H148" i="6" s="1"/>
  <c r="K140" i="6"/>
  <c r="G140" i="6"/>
  <c r="F140" i="6"/>
  <c r="E140" i="6"/>
  <c r="K137" i="6"/>
  <c r="G137" i="6"/>
  <c r="F137" i="6"/>
  <c r="E137" i="6"/>
  <c r="K128" i="6"/>
  <c r="G128" i="6"/>
  <c r="F128" i="6"/>
  <c r="E128" i="6"/>
  <c r="K126" i="6"/>
  <c r="G126" i="6"/>
  <c r="F126" i="6"/>
  <c r="E126" i="6"/>
  <c r="K121" i="6"/>
  <c r="G121" i="6"/>
  <c r="F121" i="6"/>
  <c r="E121" i="6"/>
  <c r="H121" i="6" s="1"/>
  <c r="D121" i="6"/>
  <c r="K117" i="6"/>
  <c r="G117" i="6"/>
  <c r="F117" i="6"/>
  <c r="E117" i="6"/>
  <c r="K111" i="6"/>
  <c r="G111" i="6"/>
  <c r="F111" i="6"/>
  <c r="E111" i="6"/>
  <c r="K110" i="6"/>
  <c r="G110" i="6"/>
  <c r="F110" i="6"/>
  <c r="E110" i="6"/>
  <c r="I110" i="6" s="1"/>
  <c r="K109" i="6"/>
  <c r="G109" i="6"/>
  <c r="F109" i="6"/>
  <c r="E109" i="6"/>
  <c r="K108" i="6"/>
  <c r="G108" i="6"/>
  <c r="F108" i="6"/>
  <c r="E108" i="6"/>
  <c r="K113" i="6"/>
  <c r="G113" i="6"/>
  <c r="F113" i="6"/>
  <c r="E113" i="6"/>
  <c r="K107" i="6"/>
  <c r="G107" i="6"/>
  <c r="F107" i="6"/>
  <c r="E107" i="6"/>
  <c r="K105" i="6"/>
  <c r="G105" i="6"/>
  <c r="F105" i="6"/>
  <c r="E105" i="6"/>
  <c r="K103" i="6"/>
  <c r="G103" i="6"/>
  <c r="F103" i="6"/>
  <c r="E103" i="6"/>
  <c r="K102" i="6"/>
  <c r="G102" i="6"/>
  <c r="F102" i="6"/>
  <c r="E102" i="6"/>
  <c r="K98" i="6"/>
  <c r="G98" i="6"/>
  <c r="F98" i="6"/>
  <c r="E98" i="6"/>
  <c r="K96" i="6"/>
  <c r="G96" i="6"/>
  <c r="F96" i="6"/>
  <c r="E96" i="6"/>
  <c r="K95" i="6"/>
  <c r="G95" i="6"/>
  <c r="F95" i="6"/>
  <c r="E95" i="6"/>
  <c r="K94" i="6"/>
  <c r="G94" i="6"/>
  <c r="F94" i="6"/>
  <c r="E94" i="6"/>
  <c r="K90" i="6"/>
  <c r="G90" i="6"/>
  <c r="F90" i="6"/>
  <c r="E90" i="6"/>
  <c r="K89" i="6"/>
  <c r="G89" i="6"/>
  <c r="F89" i="6"/>
  <c r="E89" i="6"/>
  <c r="K88" i="6"/>
  <c r="G88" i="6"/>
  <c r="F88" i="6"/>
  <c r="E88" i="6"/>
  <c r="K87" i="6"/>
  <c r="G87" i="6"/>
  <c r="F87" i="6"/>
  <c r="E87" i="6"/>
  <c r="K86" i="6"/>
  <c r="G86" i="6"/>
  <c r="F86" i="6"/>
  <c r="E86" i="6"/>
  <c r="K85" i="6"/>
  <c r="G85" i="6"/>
  <c r="F85" i="6"/>
  <c r="E85" i="6"/>
  <c r="K84" i="6"/>
  <c r="G84" i="6"/>
  <c r="F84" i="6"/>
  <c r="E84" i="6"/>
  <c r="K83" i="6"/>
  <c r="G83" i="6"/>
  <c r="F83" i="6"/>
  <c r="E83" i="6"/>
  <c r="K82" i="6"/>
  <c r="G82" i="6"/>
  <c r="F82" i="6"/>
  <c r="E82" i="6"/>
  <c r="K81" i="6"/>
  <c r="G81" i="6"/>
  <c r="F81" i="6"/>
  <c r="E81" i="6"/>
  <c r="K80" i="6"/>
  <c r="G80" i="6"/>
  <c r="F80" i="6"/>
  <c r="E80" i="6"/>
  <c r="K79" i="6"/>
  <c r="G79" i="6"/>
  <c r="F79" i="6"/>
  <c r="E79" i="6"/>
  <c r="K76" i="6"/>
  <c r="G76" i="6"/>
  <c r="F76" i="6"/>
  <c r="E76" i="6"/>
  <c r="K75" i="6"/>
  <c r="G75" i="6"/>
  <c r="F75" i="6"/>
  <c r="E75" i="6"/>
  <c r="K72" i="6"/>
  <c r="G72" i="6"/>
  <c r="F72" i="6"/>
  <c r="E72" i="6"/>
  <c r="K71" i="6"/>
  <c r="G71" i="6"/>
  <c r="F71" i="6"/>
  <c r="E71" i="6"/>
  <c r="K70" i="6"/>
  <c r="G70" i="6"/>
  <c r="F70" i="6"/>
  <c r="E70" i="6"/>
  <c r="K69" i="6"/>
  <c r="G69" i="6"/>
  <c r="F69" i="6"/>
  <c r="E69" i="6"/>
  <c r="K68" i="6"/>
  <c r="G68" i="6"/>
  <c r="F68" i="6"/>
  <c r="E68" i="6"/>
  <c r="K67" i="6"/>
  <c r="G67" i="6"/>
  <c r="F67" i="6"/>
  <c r="E67" i="6"/>
  <c r="K63" i="6"/>
  <c r="G63" i="6"/>
  <c r="F63" i="6"/>
  <c r="E63" i="6"/>
  <c r="K64" i="6"/>
  <c r="G64" i="6"/>
  <c r="F64" i="6"/>
  <c r="E64" i="6"/>
  <c r="K61" i="6"/>
  <c r="G61" i="6"/>
  <c r="F61" i="6"/>
  <c r="E61" i="6"/>
  <c r="K60" i="6"/>
  <c r="G60" i="6"/>
  <c r="F60" i="6"/>
  <c r="E60" i="6"/>
  <c r="K59" i="6"/>
  <c r="G59" i="6"/>
  <c r="F59" i="6"/>
  <c r="E59" i="6"/>
  <c r="K58" i="6"/>
  <c r="G58" i="6"/>
  <c r="F58" i="6"/>
  <c r="E58" i="6"/>
  <c r="K57" i="6"/>
  <c r="G57" i="6"/>
  <c r="F57" i="6"/>
  <c r="E57" i="6"/>
  <c r="K56" i="6"/>
  <c r="G56" i="6"/>
  <c r="F56" i="6"/>
  <c r="E56" i="6"/>
  <c r="D148" i="6" l="1"/>
  <c r="D110" i="6"/>
  <c r="I148" i="6"/>
  <c r="I121" i="6"/>
  <c r="H110" i="6"/>
  <c r="J180" i="6"/>
  <c r="M182" i="6"/>
  <c r="J162" i="6"/>
  <c r="J182" i="6"/>
  <c r="J183" i="6"/>
  <c r="J170" i="6"/>
  <c r="J177" i="6"/>
  <c r="L171" i="6"/>
  <c r="M171" i="6"/>
  <c r="L181" i="6"/>
  <c r="J173" i="6"/>
  <c r="J178" i="6"/>
  <c r="J179" i="6"/>
  <c r="J184" i="6"/>
  <c r="L178" i="6"/>
  <c r="J155" i="6"/>
  <c r="J163" i="6"/>
  <c r="J181" i="6"/>
  <c r="M184" i="6"/>
  <c r="M183" i="6"/>
  <c r="L182" i="6"/>
  <c r="N182" i="6" s="1"/>
  <c r="M181" i="6"/>
  <c r="M180" i="6"/>
  <c r="M179" i="6"/>
  <c r="M177" i="6"/>
  <c r="L177" i="6"/>
  <c r="L180" i="6"/>
  <c r="M178" i="6"/>
  <c r="L184" i="6"/>
  <c r="L183" i="6"/>
  <c r="L179" i="6"/>
  <c r="J159" i="6"/>
  <c r="J172" i="6"/>
  <c r="M172" i="6"/>
  <c r="M161" i="6"/>
  <c r="L170" i="6"/>
  <c r="M173" i="6"/>
  <c r="L172" i="6"/>
  <c r="J171" i="6"/>
  <c r="J174" i="6"/>
  <c r="M174" i="6"/>
  <c r="M170" i="6"/>
  <c r="L174" i="6"/>
  <c r="L173" i="6"/>
  <c r="J161" i="6"/>
  <c r="M152" i="6"/>
  <c r="M160" i="6"/>
  <c r="J152" i="6"/>
  <c r="L160" i="6"/>
  <c r="J153" i="6"/>
  <c r="J160" i="6"/>
  <c r="M162" i="6"/>
  <c r="J146" i="6"/>
  <c r="J167" i="6"/>
  <c r="M159" i="6"/>
  <c r="L161" i="6"/>
  <c r="J154" i="6"/>
  <c r="J156" i="6"/>
  <c r="M165" i="6"/>
  <c r="J169" i="6"/>
  <c r="M163" i="6"/>
  <c r="L163" i="6"/>
  <c r="L159" i="6"/>
  <c r="L162" i="6"/>
  <c r="J176" i="6"/>
  <c r="M176" i="6"/>
  <c r="J144" i="6"/>
  <c r="M123" i="6"/>
  <c r="L176" i="6"/>
  <c r="L169" i="6"/>
  <c r="M167" i="6"/>
  <c r="J166" i="6"/>
  <c r="M166" i="6"/>
  <c r="J165" i="6"/>
  <c r="L165" i="6"/>
  <c r="J158" i="6"/>
  <c r="M158" i="6"/>
  <c r="M156" i="6"/>
  <c r="L155" i="6"/>
  <c r="L154" i="6"/>
  <c r="M153" i="6"/>
  <c r="L167" i="6"/>
  <c r="M169" i="6"/>
  <c r="L158" i="6"/>
  <c r="M133" i="6"/>
  <c r="J145" i="6"/>
  <c r="L153" i="6"/>
  <c r="M154" i="6"/>
  <c r="L156" i="6"/>
  <c r="M155" i="6"/>
  <c r="J135" i="6"/>
  <c r="L152" i="6"/>
  <c r="L166" i="6"/>
  <c r="M144" i="6"/>
  <c r="J147" i="6"/>
  <c r="M147" i="6"/>
  <c r="L147" i="6"/>
  <c r="J143" i="6"/>
  <c r="J132" i="6"/>
  <c r="J142" i="6"/>
  <c r="L133" i="6"/>
  <c r="M143" i="6"/>
  <c r="M146" i="6"/>
  <c r="M145" i="6"/>
  <c r="L144" i="6"/>
  <c r="L143" i="6"/>
  <c r="M142" i="6"/>
  <c r="L130" i="6"/>
  <c r="L142" i="6"/>
  <c r="L146" i="6"/>
  <c r="L145" i="6"/>
  <c r="J131" i="6"/>
  <c r="J119" i="6"/>
  <c r="M137" i="6"/>
  <c r="J129" i="6"/>
  <c r="J134" i="6"/>
  <c r="J133" i="6"/>
  <c r="J124" i="6"/>
  <c r="J136" i="6"/>
  <c r="M134" i="6"/>
  <c r="M131" i="6"/>
  <c r="L129" i="6"/>
  <c r="M132" i="6"/>
  <c r="M135" i="6"/>
  <c r="L131" i="6"/>
  <c r="M130" i="6"/>
  <c r="L134" i="6"/>
  <c r="M136" i="6"/>
  <c r="J130" i="6"/>
  <c r="L132" i="6"/>
  <c r="L136" i="6"/>
  <c r="M129" i="6"/>
  <c r="L135" i="6"/>
  <c r="J126" i="6"/>
  <c r="J123" i="6"/>
  <c r="M118" i="6"/>
  <c r="M125" i="6"/>
  <c r="M124" i="6"/>
  <c r="J113" i="6"/>
  <c r="J140" i="6"/>
  <c r="L123" i="6"/>
  <c r="J125" i="6"/>
  <c r="L108" i="6"/>
  <c r="J121" i="6"/>
  <c r="L128" i="6"/>
  <c r="J120" i="6"/>
  <c r="L125" i="6"/>
  <c r="L124" i="6"/>
  <c r="J137" i="6"/>
  <c r="L118" i="6"/>
  <c r="J139" i="6"/>
  <c r="M119" i="6"/>
  <c r="M107" i="6"/>
  <c r="J94" i="6"/>
  <c r="J111" i="6"/>
  <c r="J118" i="6"/>
  <c r="M120" i="6"/>
  <c r="L120" i="6"/>
  <c r="L119" i="6"/>
  <c r="M139" i="6"/>
  <c r="M128" i="6"/>
  <c r="L140" i="6"/>
  <c r="J117" i="6"/>
  <c r="J109" i="6"/>
  <c r="M126" i="6"/>
  <c r="L139" i="6"/>
  <c r="J128" i="6"/>
  <c r="J148" i="6"/>
  <c r="M148" i="6"/>
  <c r="M140" i="6"/>
  <c r="L137" i="6"/>
  <c r="L126" i="6"/>
  <c r="L121" i="6"/>
  <c r="M117" i="6"/>
  <c r="L117" i="6"/>
  <c r="M121" i="6"/>
  <c r="L148" i="6"/>
  <c r="M108" i="6"/>
  <c r="J98" i="6"/>
  <c r="M105" i="6"/>
  <c r="J108" i="6"/>
  <c r="J102" i="6"/>
  <c r="J110" i="6"/>
  <c r="J103" i="6"/>
  <c r="M110" i="6"/>
  <c r="L109" i="6"/>
  <c r="L105" i="6"/>
  <c r="M109" i="6"/>
  <c r="L111" i="6"/>
  <c r="L110" i="6"/>
  <c r="M111" i="6"/>
  <c r="L102" i="6"/>
  <c r="J107" i="6"/>
  <c r="J88" i="6"/>
  <c r="J87" i="6"/>
  <c r="M103" i="6"/>
  <c r="M113" i="6"/>
  <c r="J105" i="6"/>
  <c r="L103" i="6"/>
  <c r="M102" i="6"/>
  <c r="L113" i="6"/>
  <c r="M59" i="6"/>
  <c r="J72" i="6"/>
  <c r="J67" i="6"/>
  <c r="J83" i="6"/>
  <c r="J76" i="6"/>
  <c r="J90" i="6"/>
  <c r="L107" i="6"/>
  <c r="J96" i="6"/>
  <c r="M96" i="6"/>
  <c r="J75" i="6"/>
  <c r="J89" i="6"/>
  <c r="J68" i="6"/>
  <c r="L70" i="6"/>
  <c r="J84" i="6"/>
  <c r="L86" i="6"/>
  <c r="L96" i="6"/>
  <c r="J95" i="6"/>
  <c r="M95" i="6"/>
  <c r="M98" i="6"/>
  <c r="L95" i="6"/>
  <c r="L94" i="6"/>
  <c r="M94" i="6"/>
  <c r="L98" i="6"/>
  <c r="J70" i="6"/>
  <c r="J86" i="6"/>
  <c r="J64" i="6"/>
  <c r="L67" i="6"/>
  <c r="J81" i="6"/>
  <c r="J79" i="6"/>
  <c r="L83" i="6"/>
  <c r="J85" i="6"/>
  <c r="M87" i="6"/>
  <c r="M85" i="6"/>
  <c r="M88" i="6"/>
  <c r="M86" i="6"/>
  <c r="L85" i="6"/>
  <c r="L82" i="6"/>
  <c r="L80" i="6"/>
  <c r="L90" i="6"/>
  <c r="M89" i="6"/>
  <c r="L87" i="6"/>
  <c r="L84" i="6"/>
  <c r="J82" i="6"/>
  <c r="M81" i="6"/>
  <c r="J80" i="6"/>
  <c r="M79" i="6"/>
  <c r="M84" i="6"/>
  <c r="M83" i="6"/>
  <c r="L89" i="6"/>
  <c r="L81" i="6"/>
  <c r="M82" i="6"/>
  <c r="L79" i="6"/>
  <c r="M80" i="6"/>
  <c r="M90" i="6"/>
  <c r="L88" i="6"/>
  <c r="J71" i="6"/>
  <c r="J63" i="6"/>
  <c r="L76" i="6"/>
  <c r="M75" i="6"/>
  <c r="L75" i="6"/>
  <c r="M76" i="6"/>
  <c r="J57" i="6"/>
  <c r="J69" i="6"/>
  <c r="M69" i="6"/>
  <c r="M67" i="6"/>
  <c r="L72" i="6"/>
  <c r="M71" i="6"/>
  <c r="M68" i="6"/>
  <c r="L71" i="6"/>
  <c r="M72" i="6"/>
  <c r="M70" i="6"/>
  <c r="L69" i="6"/>
  <c r="J61" i="6"/>
  <c r="L68" i="6"/>
  <c r="J56" i="6"/>
  <c r="L58" i="6"/>
  <c r="J58" i="6"/>
  <c r="M63" i="6"/>
  <c r="M58" i="6"/>
  <c r="L63" i="6"/>
  <c r="J59" i="6"/>
  <c r="L60" i="6"/>
  <c r="M57" i="6"/>
  <c r="M60" i="6"/>
  <c r="M64" i="6"/>
  <c r="M61" i="6"/>
  <c r="J60" i="6"/>
  <c r="L57" i="6"/>
  <c r="M56" i="6"/>
  <c r="L56" i="6"/>
  <c r="L64" i="6"/>
  <c r="L61" i="6"/>
  <c r="L59" i="6"/>
  <c r="K52" i="6"/>
  <c r="G52" i="6"/>
  <c r="F52" i="6"/>
  <c r="E52" i="6"/>
  <c r="K51" i="6"/>
  <c r="G51" i="6"/>
  <c r="F51" i="6"/>
  <c r="E51" i="6"/>
  <c r="K50" i="6"/>
  <c r="G50" i="6"/>
  <c r="F50" i="6"/>
  <c r="E50" i="6"/>
  <c r="K49" i="6"/>
  <c r="G49" i="6"/>
  <c r="F49" i="6"/>
  <c r="E49" i="6"/>
  <c r="K48" i="6"/>
  <c r="G48" i="6"/>
  <c r="F48" i="6"/>
  <c r="E48" i="6"/>
  <c r="K47" i="6"/>
  <c r="G47" i="6"/>
  <c r="F47" i="6"/>
  <c r="E47" i="6"/>
  <c r="K39" i="6"/>
  <c r="G39" i="6"/>
  <c r="F39" i="6"/>
  <c r="E39" i="6"/>
  <c r="K44" i="6"/>
  <c r="G44" i="6"/>
  <c r="F44" i="6"/>
  <c r="E44" i="6"/>
  <c r="K43" i="6"/>
  <c r="G43" i="6"/>
  <c r="F43" i="6"/>
  <c r="E43" i="6"/>
  <c r="K42" i="6"/>
  <c r="G42" i="6"/>
  <c r="F42" i="6"/>
  <c r="E42" i="6"/>
  <c r="I42" i="6" s="1"/>
  <c r="D42" i="6"/>
  <c r="K41" i="6"/>
  <c r="G41" i="6"/>
  <c r="F41" i="6"/>
  <c r="E41" i="6"/>
  <c r="K40" i="6"/>
  <c r="G40" i="6"/>
  <c r="F40" i="6"/>
  <c r="E40" i="6"/>
  <c r="K38" i="6"/>
  <c r="G38" i="6"/>
  <c r="F38" i="6"/>
  <c r="E38" i="6"/>
  <c r="K37" i="6"/>
  <c r="G37" i="6"/>
  <c r="F37" i="6"/>
  <c r="E37" i="6"/>
  <c r="K33" i="6"/>
  <c r="G33" i="6"/>
  <c r="F33" i="6"/>
  <c r="E33" i="6"/>
  <c r="K32" i="6"/>
  <c r="G32" i="6"/>
  <c r="F32" i="6"/>
  <c r="E32" i="6"/>
  <c r="K31" i="6"/>
  <c r="G31" i="6"/>
  <c r="F31" i="6"/>
  <c r="E31" i="6"/>
  <c r="K30" i="6"/>
  <c r="G30" i="6"/>
  <c r="F30" i="6"/>
  <c r="E30" i="6"/>
  <c r="K29" i="6"/>
  <c r="G29" i="6"/>
  <c r="F29" i="6"/>
  <c r="E29" i="6"/>
  <c r="K28" i="6"/>
  <c r="G28" i="6"/>
  <c r="F28" i="6"/>
  <c r="E28" i="6"/>
  <c r="K27" i="6"/>
  <c r="G27" i="6"/>
  <c r="F27" i="6"/>
  <c r="E27" i="6"/>
  <c r="K26" i="6"/>
  <c r="G26" i="6"/>
  <c r="F26" i="6"/>
  <c r="E26" i="6"/>
  <c r="K25" i="6"/>
  <c r="G25" i="6"/>
  <c r="F25" i="6"/>
  <c r="E25" i="6"/>
  <c r="K24" i="6"/>
  <c r="G24" i="6"/>
  <c r="F24" i="6"/>
  <c r="E24" i="6"/>
  <c r="K23" i="6"/>
  <c r="G23" i="6"/>
  <c r="F23" i="6"/>
  <c r="E23" i="6"/>
  <c r="K34" i="6"/>
  <c r="G34" i="6"/>
  <c r="F34" i="6"/>
  <c r="E34" i="6"/>
  <c r="K22" i="6"/>
  <c r="G22" i="6"/>
  <c r="F22" i="6"/>
  <c r="E22" i="6"/>
  <c r="K18" i="6"/>
  <c r="G18" i="6"/>
  <c r="F18" i="6"/>
  <c r="E18" i="6"/>
  <c r="K17" i="6"/>
  <c r="G17" i="6"/>
  <c r="F17" i="6"/>
  <c r="E17" i="6"/>
  <c r="K16" i="6"/>
  <c r="G16" i="6"/>
  <c r="F16" i="6"/>
  <c r="E16" i="6"/>
  <c r="K15" i="6"/>
  <c r="G15" i="6"/>
  <c r="F15" i="6"/>
  <c r="E15" i="6"/>
  <c r="K19" i="6"/>
  <c r="G19" i="6"/>
  <c r="F19" i="6"/>
  <c r="E19" i="6"/>
  <c r="K14" i="6"/>
  <c r="G14" i="6"/>
  <c r="F14" i="6"/>
  <c r="E14" i="6"/>
  <c r="H95" i="5"/>
  <c r="H94" i="5"/>
  <c r="H93" i="5"/>
  <c r="H92" i="5"/>
  <c r="M93" i="5"/>
  <c r="O93" i="5" s="1"/>
  <c r="L93" i="5"/>
  <c r="J93" i="5"/>
  <c r="F93" i="5"/>
  <c r="D93" i="5"/>
  <c r="H42" i="6" l="1"/>
  <c r="N177" i="6"/>
  <c r="N181" i="6"/>
  <c r="N178" i="6"/>
  <c r="N171" i="6"/>
  <c r="N174" i="6"/>
  <c r="N179" i="6"/>
  <c r="N180" i="6"/>
  <c r="N183" i="6"/>
  <c r="N184" i="6"/>
  <c r="N173" i="6"/>
  <c r="N172" i="6"/>
  <c r="N170" i="6"/>
  <c r="N166" i="6"/>
  <c r="N161" i="6"/>
  <c r="N163" i="6"/>
  <c r="N123" i="6"/>
  <c r="N155" i="6"/>
  <c r="N160" i="6"/>
  <c r="N156" i="6"/>
  <c r="N162" i="6"/>
  <c r="N158" i="6"/>
  <c r="N153" i="6"/>
  <c r="N165" i="6"/>
  <c r="N143" i="6"/>
  <c r="N159" i="6"/>
  <c r="N176" i="6"/>
  <c r="N169" i="6"/>
  <c r="N167" i="6"/>
  <c r="M185" i="6"/>
  <c r="N144" i="6"/>
  <c r="N133" i="6"/>
  <c r="N154" i="6"/>
  <c r="N152" i="6"/>
  <c r="L185" i="6"/>
  <c r="N142" i="6"/>
  <c r="N147" i="6"/>
  <c r="N130" i="6"/>
  <c r="N145" i="6"/>
  <c r="N146" i="6"/>
  <c r="N137" i="6"/>
  <c r="N131" i="6"/>
  <c r="N134" i="6"/>
  <c r="N118" i="6"/>
  <c r="N136" i="6"/>
  <c r="N132" i="6"/>
  <c r="N129" i="6"/>
  <c r="N135" i="6"/>
  <c r="N125" i="6"/>
  <c r="N139" i="6"/>
  <c r="N124" i="6"/>
  <c r="N121" i="6"/>
  <c r="N107" i="6"/>
  <c r="N128" i="6"/>
  <c r="N108" i="6"/>
  <c r="N119" i="6"/>
  <c r="N120" i="6"/>
  <c r="N126" i="6"/>
  <c r="N110" i="6"/>
  <c r="N140" i="6"/>
  <c r="N148" i="6"/>
  <c r="N117" i="6"/>
  <c r="L149" i="6"/>
  <c r="M149" i="6"/>
  <c r="N105" i="6"/>
  <c r="N96" i="6"/>
  <c r="N111" i="6"/>
  <c r="N102" i="6"/>
  <c r="N109" i="6"/>
  <c r="N103" i="6"/>
  <c r="M114" i="6"/>
  <c r="N85" i="6"/>
  <c r="N113" i="6"/>
  <c r="L114" i="6"/>
  <c r="N59" i="6"/>
  <c r="N86" i="6"/>
  <c r="N67" i="6"/>
  <c r="N83" i="6"/>
  <c r="N84" i="6"/>
  <c r="M99" i="6"/>
  <c r="N95" i="6"/>
  <c r="N98" i="6"/>
  <c r="N90" i="6"/>
  <c r="J23" i="6"/>
  <c r="J38" i="6"/>
  <c r="J52" i="6"/>
  <c r="M77" i="6"/>
  <c r="N58" i="6"/>
  <c r="N94" i="6"/>
  <c r="L99" i="6"/>
  <c r="N80" i="6"/>
  <c r="N88" i="6"/>
  <c r="N87" i="6"/>
  <c r="N89" i="6"/>
  <c r="N82" i="6"/>
  <c r="N81" i="6"/>
  <c r="M91" i="6"/>
  <c r="L91" i="6"/>
  <c r="N79" i="6"/>
  <c r="J19" i="6"/>
  <c r="J28" i="6"/>
  <c r="L30" i="6"/>
  <c r="L47" i="6"/>
  <c r="N69" i="6"/>
  <c r="J30" i="6"/>
  <c r="L77" i="6"/>
  <c r="N75" i="6"/>
  <c r="N68" i="6"/>
  <c r="N72" i="6"/>
  <c r="N76" i="6"/>
  <c r="N71" i="6"/>
  <c r="M73" i="6"/>
  <c r="J51" i="6"/>
  <c r="L73" i="6"/>
  <c r="N70" i="6"/>
  <c r="N60" i="6"/>
  <c r="N63" i="6"/>
  <c r="J32" i="6"/>
  <c r="N57" i="6"/>
  <c r="J47" i="6"/>
  <c r="N61" i="6"/>
  <c r="J39" i="6"/>
  <c r="N64" i="6"/>
  <c r="J40" i="6"/>
  <c r="N56" i="6"/>
  <c r="L65" i="6"/>
  <c r="J50" i="6"/>
  <c r="M65" i="6"/>
  <c r="L49" i="6"/>
  <c r="J42" i="6"/>
  <c r="L52" i="6"/>
  <c r="M51" i="6"/>
  <c r="M50" i="6"/>
  <c r="M49" i="6"/>
  <c r="J49" i="6"/>
  <c r="M47" i="6"/>
  <c r="J33" i="6"/>
  <c r="L38" i="6"/>
  <c r="L51" i="6"/>
  <c r="J25" i="6"/>
  <c r="J41" i="6"/>
  <c r="L50" i="6"/>
  <c r="M52" i="6"/>
  <c r="J43" i="6"/>
  <c r="J44" i="6"/>
  <c r="M40" i="6"/>
  <c r="M39" i="6"/>
  <c r="M38" i="6"/>
  <c r="M37" i="6"/>
  <c r="J37" i="6"/>
  <c r="L39" i="6"/>
  <c r="M43" i="6"/>
  <c r="L37" i="6"/>
  <c r="M42" i="6"/>
  <c r="L41" i="6"/>
  <c r="M15" i="6"/>
  <c r="M41" i="6"/>
  <c r="J34" i="6"/>
  <c r="L44" i="6"/>
  <c r="M30" i="6"/>
  <c r="L43" i="6"/>
  <c r="M44" i="6"/>
  <c r="J24" i="6"/>
  <c r="L42" i="6"/>
  <c r="J27" i="6"/>
  <c r="M31" i="6"/>
  <c r="M25" i="6"/>
  <c r="J26" i="6"/>
  <c r="L40" i="6"/>
  <c r="J22" i="6"/>
  <c r="J31" i="6"/>
  <c r="M33" i="6"/>
  <c r="M32" i="6"/>
  <c r="L31" i="6"/>
  <c r="J29" i="6"/>
  <c r="M29" i="6"/>
  <c r="L28" i="6"/>
  <c r="M27" i="6"/>
  <c r="L26" i="6"/>
  <c r="M24" i="6"/>
  <c r="L23" i="6"/>
  <c r="L29" i="6"/>
  <c r="M28" i="6"/>
  <c r="L27" i="6"/>
  <c r="M26" i="6"/>
  <c r="L24" i="6"/>
  <c r="M23" i="6"/>
  <c r="L33" i="6"/>
  <c r="L32" i="6"/>
  <c r="L25" i="6"/>
  <c r="J15" i="6"/>
  <c r="M22" i="6"/>
  <c r="L22" i="6"/>
  <c r="L34" i="6"/>
  <c r="M34" i="6"/>
  <c r="L15" i="6"/>
  <c r="M16" i="6"/>
  <c r="J16" i="6"/>
  <c r="L16" i="6"/>
  <c r="J14" i="6"/>
  <c r="M14" i="6"/>
  <c r="M19" i="6"/>
  <c r="L19" i="6"/>
  <c r="L14" i="6"/>
  <c r="H90" i="5"/>
  <c r="H91" i="5"/>
  <c r="N185" i="6" l="1"/>
  <c r="N52" i="6"/>
  <c r="N149" i="6"/>
  <c r="N114" i="6"/>
  <c r="N38" i="6"/>
  <c r="N99" i="6"/>
  <c r="N91" i="6"/>
  <c r="N47" i="6"/>
  <c r="N30" i="6"/>
  <c r="N73" i="6"/>
  <c r="N77" i="6"/>
  <c r="N44" i="6"/>
  <c r="N65" i="6"/>
  <c r="N39" i="6"/>
  <c r="N49" i="6"/>
  <c r="N37" i="6"/>
  <c r="N50" i="6"/>
  <c r="N51" i="6"/>
  <c r="N15" i="6"/>
  <c r="N26" i="6"/>
  <c r="N22" i="6"/>
  <c r="N40" i="6"/>
  <c r="N43" i="6"/>
  <c r="N25" i="6"/>
  <c r="L45" i="6"/>
  <c r="N42" i="6"/>
  <c r="N41" i="6"/>
  <c r="N33" i="6"/>
  <c r="N23" i="6"/>
  <c r="N31" i="6"/>
  <c r="N29" i="6"/>
  <c r="M45" i="6"/>
  <c r="N27" i="6"/>
  <c r="N28" i="6"/>
  <c r="N32" i="6"/>
  <c r="N24" i="6"/>
  <c r="N34" i="6"/>
  <c r="N16" i="6"/>
  <c r="M35" i="6"/>
  <c r="L35" i="6"/>
  <c r="N19" i="6"/>
  <c r="N14" i="6"/>
  <c r="D159" i="8"/>
  <c r="D158" i="8"/>
  <c r="D157" i="8"/>
  <c r="D162" i="8"/>
  <c r="D161" i="8"/>
  <c r="D160" i="8"/>
  <c r="D150" i="8"/>
  <c r="D151" i="8" s="1"/>
  <c r="D149" i="8"/>
  <c r="D148" i="8"/>
  <c r="D147" i="8"/>
  <c r="D146" i="8"/>
  <c r="G15" i="7" l="1"/>
  <c r="O15" i="7"/>
  <c r="M15" i="7"/>
  <c r="K15" i="7"/>
  <c r="I15" i="7"/>
  <c r="Q15" i="7"/>
  <c r="E15" i="7"/>
  <c r="S15" i="7"/>
  <c r="G18" i="7"/>
  <c r="O18" i="7"/>
  <c r="K18" i="7"/>
  <c r="I18" i="7"/>
  <c r="M18" i="7"/>
  <c r="E18" i="7"/>
  <c r="S18" i="7"/>
  <c r="Q18" i="7"/>
  <c r="O20" i="7"/>
  <c r="K20" i="7"/>
  <c r="I20" i="7"/>
  <c r="G20" i="7"/>
  <c r="M20" i="7"/>
  <c r="S20" i="7"/>
  <c r="Q20" i="7"/>
  <c r="E20" i="7"/>
  <c r="O14" i="7"/>
  <c r="M14" i="7"/>
  <c r="G14" i="7"/>
  <c r="K14" i="7"/>
  <c r="I14" i="7"/>
  <c r="E14" i="7"/>
  <c r="Q14" i="7"/>
  <c r="S14" i="7"/>
  <c r="O16" i="7"/>
  <c r="I16" i="7"/>
  <c r="G16" i="7"/>
  <c r="M16" i="7"/>
  <c r="K16" i="7"/>
  <c r="Q16" i="7"/>
  <c r="S16" i="7"/>
  <c r="E16" i="7"/>
  <c r="G17" i="7"/>
  <c r="I17" i="7"/>
  <c r="O17" i="7"/>
  <c r="M17" i="7"/>
  <c r="K17" i="7"/>
  <c r="E17" i="7"/>
  <c r="S17" i="7"/>
  <c r="Q17" i="7"/>
  <c r="K19" i="7"/>
  <c r="M19" i="7"/>
  <c r="I19" i="7"/>
  <c r="G19" i="7"/>
  <c r="O19" i="7"/>
  <c r="E19" i="7"/>
  <c r="Q19" i="7"/>
  <c r="S19" i="7"/>
  <c r="K21" i="7"/>
  <c r="O21" i="7"/>
  <c r="G21" i="7"/>
  <c r="M21" i="7"/>
  <c r="I21" i="7"/>
  <c r="S21" i="7"/>
  <c r="Q21" i="7"/>
  <c r="E21" i="7"/>
  <c r="N35" i="6"/>
  <c r="N45" i="6"/>
  <c r="G12" i="7" s="1"/>
  <c r="D144" i="8"/>
  <c r="D143" i="8"/>
  <c r="D142" i="8"/>
  <c r="D141" i="8"/>
  <c r="D140" i="8"/>
  <c r="N82" i="5"/>
  <c r="N81" i="5"/>
  <c r="H85" i="5"/>
  <c r="H84" i="5"/>
  <c r="H83" i="5"/>
  <c r="D82" i="5"/>
  <c r="D83" i="5"/>
  <c r="D84" i="5"/>
  <c r="D85" i="5"/>
  <c r="D86" i="5"/>
  <c r="D87" i="5"/>
  <c r="M82" i="5"/>
  <c r="M83" i="5"/>
  <c r="O83" i="5" s="1"/>
  <c r="M84" i="5"/>
  <c r="O84" i="5" s="1"/>
  <c r="M85" i="5"/>
  <c r="O85" i="5" s="1"/>
  <c r="M86" i="5"/>
  <c r="O86" i="5" s="1"/>
  <c r="M87" i="5"/>
  <c r="O87" i="5" s="1"/>
  <c r="L82" i="5"/>
  <c r="L83" i="5"/>
  <c r="L84" i="5"/>
  <c r="L85" i="5"/>
  <c r="L86" i="5"/>
  <c r="L87" i="5"/>
  <c r="J82" i="5"/>
  <c r="J83" i="5"/>
  <c r="J84" i="5"/>
  <c r="J85" i="5"/>
  <c r="J86" i="5"/>
  <c r="J87" i="5"/>
  <c r="F82" i="5"/>
  <c r="F83" i="5"/>
  <c r="F84" i="5"/>
  <c r="F85" i="5"/>
  <c r="F86" i="5"/>
  <c r="F87" i="5"/>
  <c r="G95" i="5"/>
  <c r="I95" i="5" s="1"/>
  <c r="G92" i="5"/>
  <c r="I92" i="5" s="1"/>
  <c r="G93" i="5"/>
  <c r="I93" i="5" s="1"/>
  <c r="G90" i="5"/>
  <c r="I90" i="5" s="1"/>
  <c r="G91" i="5"/>
  <c r="I91" i="5" s="1"/>
  <c r="G87" i="5"/>
  <c r="I87" i="5" s="1"/>
  <c r="G86" i="5"/>
  <c r="I86" i="5" s="1"/>
  <c r="G85" i="5"/>
  <c r="I85" i="5" s="1"/>
  <c r="G84" i="5"/>
  <c r="I84" i="5" s="1"/>
  <c r="G83" i="5"/>
  <c r="I83" i="5" s="1"/>
  <c r="G82" i="5"/>
  <c r="I82" i="5" s="1"/>
  <c r="G81" i="5"/>
  <c r="I81" i="5" s="1"/>
  <c r="M81" i="5"/>
  <c r="L81" i="5"/>
  <c r="J81" i="5"/>
  <c r="F81" i="5"/>
  <c r="D81" i="5"/>
  <c r="Q80" i="5"/>
  <c r="M95" i="5"/>
  <c r="O95" i="5" s="1"/>
  <c r="L95" i="5"/>
  <c r="J95" i="5"/>
  <c r="F95" i="5"/>
  <c r="D95" i="5"/>
  <c r="M94" i="5"/>
  <c r="O94" i="5" s="1"/>
  <c r="L94" i="5"/>
  <c r="J94" i="5"/>
  <c r="G94" i="5"/>
  <c r="I94" i="5" s="1"/>
  <c r="F94" i="5"/>
  <c r="D94" i="5"/>
  <c r="M92" i="5"/>
  <c r="O92" i="5" s="1"/>
  <c r="L92" i="5"/>
  <c r="J92" i="5"/>
  <c r="F92" i="5"/>
  <c r="D92" i="5"/>
  <c r="M91" i="5"/>
  <c r="O91" i="5" s="1"/>
  <c r="L91" i="5"/>
  <c r="J91" i="5"/>
  <c r="F91" i="5"/>
  <c r="D91" i="5"/>
  <c r="M90" i="5"/>
  <c r="O90" i="5" s="1"/>
  <c r="L90" i="5"/>
  <c r="J90" i="5"/>
  <c r="F90" i="5"/>
  <c r="D90" i="5"/>
  <c r="Q89" i="5"/>
  <c r="D48" i="6" s="1"/>
  <c r="D122" i="8"/>
  <c r="O82" i="5" l="1"/>
  <c r="O81" i="5"/>
  <c r="I12" i="7"/>
  <c r="M12" i="7"/>
  <c r="K12" i="7"/>
  <c r="O12" i="7"/>
  <c r="S12" i="7"/>
  <c r="Q12" i="7"/>
  <c r="E12" i="7"/>
  <c r="K11" i="7"/>
  <c r="I11" i="7"/>
  <c r="G11" i="7"/>
  <c r="O11" i="7"/>
  <c r="M11" i="7"/>
  <c r="Q11" i="7"/>
  <c r="S11" i="7"/>
  <c r="E11" i="7"/>
  <c r="I80" i="5"/>
  <c r="O80" i="5"/>
  <c r="I89" i="5"/>
  <c r="H48" i="6" s="1"/>
  <c r="O89" i="5"/>
  <c r="I48" i="6" s="1"/>
  <c r="M48" i="6" s="1"/>
  <c r="M53" i="6" s="1"/>
  <c r="D137" i="8"/>
  <c r="M78" i="5"/>
  <c r="O78" i="5" s="1"/>
  <c r="L78" i="5"/>
  <c r="J78" i="5"/>
  <c r="G78" i="5"/>
  <c r="I78" i="5" s="1"/>
  <c r="F78" i="5"/>
  <c r="D78" i="5"/>
  <c r="M77" i="5"/>
  <c r="O77" i="5" s="1"/>
  <c r="L77" i="5"/>
  <c r="J77" i="5"/>
  <c r="G77" i="5"/>
  <c r="I77" i="5" s="1"/>
  <c r="F77" i="5"/>
  <c r="D77" i="5"/>
  <c r="M76" i="5"/>
  <c r="O76" i="5" s="1"/>
  <c r="L76" i="5"/>
  <c r="J76" i="5"/>
  <c r="G76" i="5"/>
  <c r="I76" i="5" s="1"/>
  <c r="F76" i="5"/>
  <c r="D76" i="5"/>
  <c r="M75" i="5"/>
  <c r="O75" i="5" s="1"/>
  <c r="L75" i="5"/>
  <c r="J75" i="5"/>
  <c r="F75" i="5"/>
  <c r="D75" i="5"/>
  <c r="M74" i="5"/>
  <c r="O74" i="5" s="1"/>
  <c r="L74" i="5"/>
  <c r="J74" i="5"/>
  <c r="F74" i="5"/>
  <c r="D74" i="5"/>
  <c r="Q73" i="5"/>
  <c r="D136" i="8"/>
  <c r="M71" i="5"/>
  <c r="O71" i="5" s="1"/>
  <c r="L71" i="5"/>
  <c r="J71" i="5"/>
  <c r="G71" i="5"/>
  <c r="I71" i="5" s="1"/>
  <c r="F71" i="5"/>
  <c r="D71" i="5"/>
  <c r="M70" i="5"/>
  <c r="O70" i="5" s="1"/>
  <c r="L70" i="5"/>
  <c r="J70" i="5"/>
  <c r="G70" i="5"/>
  <c r="I70" i="5" s="1"/>
  <c r="F70" i="5"/>
  <c r="D70" i="5"/>
  <c r="M69" i="5"/>
  <c r="O69" i="5" s="1"/>
  <c r="L69" i="5"/>
  <c r="J69" i="5"/>
  <c r="G69" i="5"/>
  <c r="I69" i="5" s="1"/>
  <c r="F69" i="5"/>
  <c r="D69" i="5"/>
  <c r="M68" i="5"/>
  <c r="O68" i="5" s="1"/>
  <c r="L68" i="5"/>
  <c r="J68" i="5"/>
  <c r="G68" i="5"/>
  <c r="I68" i="5" s="1"/>
  <c r="F68" i="5"/>
  <c r="D68" i="5"/>
  <c r="M67" i="5"/>
  <c r="O67" i="5" s="1"/>
  <c r="L67" i="5"/>
  <c r="J67" i="5"/>
  <c r="F67" i="5"/>
  <c r="D67" i="5"/>
  <c r="Q66" i="5"/>
  <c r="D135" i="8"/>
  <c r="D134" i="8"/>
  <c r="D131" i="8"/>
  <c r="D132" i="8"/>
  <c r="D133" i="8"/>
  <c r="J48" i="6" l="1"/>
  <c r="L48" i="6"/>
  <c r="P80" i="5"/>
  <c r="P89" i="5"/>
  <c r="O73" i="5"/>
  <c r="O66" i="5"/>
  <c r="L53" i="6" l="1"/>
  <c r="N48" i="6"/>
  <c r="N53" i="6" s="1"/>
  <c r="D108" i="8"/>
  <c r="D101" i="8"/>
  <c r="D100" i="8"/>
  <c r="D99" i="8"/>
  <c r="Q13" i="7" l="1"/>
  <c r="E13" i="7"/>
  <c r="S13" i="7"/>
  <c r="I13" i="7"/>
  <c r="G13" i="7"/>
  <c r="K13" i="7"/>
  <c r="O13" i="7"/>
  <c r="M13" i="7"/>
  <c r="D98" i="8"/>
  <c r="D97" i="8"/>
  <c r="D87" i="8"/>
  <c r="D86" i="8"/>
  <c r="D89" i="8"/>
  <c r="D85" i="8"/>
  <c r="D26" i="8"/>
  <c r="D81" i="8" l="1"/>
  <c r="D82" i="8" s="1"/>
  <c r="D78" i="8"/>
  <c r="D79" i="8" s="1"/>
  <c r="D80" i="8" l="1"/>
  <c r="D72" i="8"/>
  <c r="D76" i="8" l="1"/>
  <c r="D74" i="8"/>
  <c r="D52" i="8"/>
  <c r="D54" i="8" s="1"/>
  <c r="D69" i="8"/>
  <c r="D68" i="8"/>
  <c r="D63" i="8"/>
  <c r="D23" i="8"/>
  <c r="D59" i="8" l="1"/>
  <c r="D71" i="8" s="1"/>
  <c r="D56" i="8"/>
  <c r="D53" i="8"/>
  <c r="D73" i="8" s="1"/>
  <c r="D75" i="8" s="1"/>
  <c r="D48" i="8"/>
  <c r="D47" i="8"/>
  <c r="D46" i="8"/>
  <c r="D45" i="8"/>
  <c r="D41" i="8"/>
  <c r="D40" i="8"/>
  <c r="D39" i="8"/>
  <c r="G75" i="5"/>
  <c r="I75" i="5" s="1"/>
  <c r="G74" i="5"/>
  <c r="I74" i="5" s="1"/>
  <c r="G67" i="5"/>
  <c r="I67" i="5" s="1"/>
  <c r="I66" i="5" s="1"/>
  <c r="P66" i="5" s="1"/>
  <c r="D38" i="8"/>
  <c r="D37" i="8"/>
  <c r="D36" i="8"/>
  <c r="D35" i="8"/>
  <c r="D34" i="8"/>
  <c r="D30" i="8"/>
  <c r="D32" i="8"/>
  <c r="D31" i="8"/>
  <c r="D29" i="8"/>
  <c r="D28" i="8"/>
  <c r="D27" i="8"/>
  <c r="D25" i="8"/>
  <c r="D24" i="8"/>
  <c r="D22" i="8"/>
  <c r="D21" i="8"/>
  <c r="D20" i="8"/>
  <c r="N35" i="5"/>
  <c r="M37" i="5"/>
  <c r="O37" i="5" s="1"/>
  <c r="L37" i="5"/>
  <c r="J37" i="5"/>
  <c r="F37" i="5"/>
  <c r="D37" i="5"/>
  <c r="M36" i="5"/>
  <c r="O36" i="5" s="1"/>
  <c r="L36" i="5"/>
  <c r="J36" i="5"/>
  <c r="F36" i="5"/>
  <c r="D36" i="5"/>
  <c r="M35" i="5"/>
  <c r="L35" i="5"/>
  <c r="J35" i="5"/>
  <c r="F35" i="5"/>
  <c r="D35" i="5"/>
  <c r="M18" i="5"/>
  <c r="O18" i="5" s="1"/>
  <c r="L18" i="5"/>
  <c r="J18" i="5"/>
  <c r="F18" i="5"/>
  <c r="D18" i="5"/>
  <c r="M24" i="5"/>
  <c r="O24" i="5" s="1"/>
  <c r="L24" i="5"/>
  <c r="J24" i="5"/>
  <c r="F24" i="5"/>
  <c r="D24" i="5"/>
  <c r="M23" i="5"/>
  <c r="O23" i="5" s="1"/>
  <c r="L23" i="5"/>
  <c r="J23" i="5"/>
  <c r="F23" i="5"/>
  <c r="D23" i="5"/>
  <c r="M22" i="5"/>
  <c r="O22" i="5" s="1"/>
  <c r="L22" i="5"/>
  <c r="J22" i="5"/>
  <c r="F22" i="5"/>
  <c r="D22" i="5"/>
  <c r="M21" i="5"/>
  <c r="O21" i="5" s="1"/>
  <c r="L21" i="5"/>
  <c r="J21" i="5"/>
  <c r="F21" i="5"/>
  <c r="D21" i="5"/>
  <c r="M20" i="5"/>
  <c r="O20" i="5" s="1"/>
  <c r="L20" i="5"/>
  <c r="J20" i="5"/>
  <c r="F20" i="5"/>
  <c r="D20" i="5"/>
  <c r="M19" i="5"/>
  <c r="O19" i="5" s="1"/>
  <c r="L19" i="5"/>
  <c r="J19" i="5"/>
  <c r="F19" i="5"/>
  <c r="D19" i="5"/>
  <c r="M27" i="5"/>
  <c r="O27" i="5" s="1"/>
  <c r="L27" i="5"/>
  <c r="J27" i="5"/>
  <c r="F27" i="5"/>
  <c r="D27" i="5"/>
  <c r="M26" i="5"/>
  <c r="O26" i="5" s="1"/>
  <c r="L26" i="5"/>
  <c r="J26" i="5"/>
  <c r="F26" i="5"/>
  <c r="D26" i="5"/>
  <c r="M25" i="5"/>
  <c r="O25" i="5" s="1"/>
  <c r="L25" i="5"/>
  <c r="J25" i="5"/>
  <c r="F25" i="5"/>
  <c r="D25" i="5"/>
  <c r="G20" i="5"/>
  <c r="I20" i="5" s="1"/>
  <c r="G21" i="5"/>
  <c r="I21" i="5" s="1"/>
  <c r="G25" i="5"/>
  <c r="I25" i="5" s="1"/>
  <c r="G37" i="5"/>
  <c r="I37" i="5" s="1"/>
  <c r="G36" i="5"/>
  <c r="I36" i="5" s="1"/>
  <c r="D15" i="8"/>
  <c r="O35" i="5" l="1"/>
  <c r="I73" i="5"/>
  <c r="P73" i="5" s="1"/>
  <c r="D77" i="8"/>
  <c r="H11" i="5"/>
  <c r="D13" i="8" l="1"/>
  <c r="I187" i="6" l="1"/>
  <c r="G35" i="5"/>
  <c r="I35" i="5" s="1"/>
  <c r="G19" i="5"/>
  <c r="I19" i="5" s="1"/>
  <c r="G24" i="5"/>
  <c r="I24" i="5" s="1"/>
  <c r="G23" i="5"/>
  <c r="I23" i="5" s="1"/>
  <c r="G18" i="5"/>
  <c r="I18" i="5" s="1"/>
  <c r="G22" i="5"/>
  <c r="I22" i="5" s="1"/>
  <c r="G26" i="5"/>
  <c r="I26" i="5" s="1"/>
  <c r="M55" i="5" l="1"/>
  <c r="O55" i="5" s="1"/>
  <c r="L55" i="5"/>
  <c r="J55" i="5"/>
  <c r="G55" i="5"/>
  <c r="I55" i="5" s="1"/>
  <c r="F55" i="5"/>
  <c r="D55" i="5"/>
  <c r="M56" i="5" l="1"/>
  <c r="O56" i="5" s="1"/>
  <c r="L56" i="5"/>
  <c r="J56" i="5"/>
  <c r="G56" i="5"/>
  <c r="I56" i="5" s="1"/>
  <c r="F56" i="5"/>
  <c r="D56" i="5"/>
  <c r="M64" i="5" l="1"/>
  <c r="O64" i="5" s="1"/>
  <c r="L64" i="5"/>
  <c r="J64" i="5"/>
  <c r="G64" i="5"/>
  <c r="I64" i="5" s="1"/>
  <c r="F64" i="5"/>
  <c r="D64" i="5"/>
  <c r="M63" i="5"/>
  <c r="O63" i="5" s="1"/>
  <c r="L63" i="5"/>
  <c r="J63" i="5"/>
  <c r="G63" i="5"/>
  <c r="I63" i="5" s="1"/>
  <c r="F63" i="5"/>
  <c r="D63" i="5"/>
  <c r="M62" i="5"/>
  <c r="O62" i="5" s="1"/>
  <c r="L62" i="5"/>
  <c r="J62" i="5"/>
  <c r="G62" i="5"/>
  <c r="I62" i="5" s="1"/>
  <c r="F62" i="5"/>
  <c r="D62" i="5"/>
  <c r="M61" i="5"/>
  <c r="O61" i="5" s="1"/>
  <c r="L61" i="5"/>
  <c r="J61" i="5"/>
  <c r="G61" i="5"/>
  <c r="I61" i="5" s="1"/>
  <c r="F61" i="5"/>
  <c r="D61" i="5"/>
  <c r="M60" i="5"/>
  <c r="O60" i="5" s="1"/>
  <c r="L60" i="5"/>
  <c r="J60" i="5"/>
  <c r="G60" i="5"/>
  <c r="I60" i="5" s="1"/>
  <c r="F60" i="5"/>
  <c r="D60" i="5"/>
  <c r="Q59" i="5"/>
  <c r="M57" i="5"/>
  <c r="O57" i="5" s="1"/>
  <c r="L57" i="5"/>
  <c r="J57" i="5"/>
  <c r="G57" i="5"/>
  <c r="I57" i="5" s="1"/>
  <c r="F57" i="5"/>
  <c r="D57" i="5"/>
  <c r="M54" i="5"/>
  <c r="O54" i="5" s="1"/>
  <c r="L54" i="5"/>
  <c r="J54" i="5"/>
  <c r="G54" i="5"/>
  <c r="I54" i="5" s="1"/>
  <c r="F54" i="5"/>
  <c r="D54" i="5"/>
  <c r="M53" i="5"/>
  <c r="O53" i="5" s="1"/>
  <c r="L53" i="5"/>
  <c r="J53" i="5"/>
  <c r="G53" i="5"/>
  <c r="I53" i="5" s="1"/>
  <c r="F53" i="5"/>
  <c r="D53" i="5"/>
  <c r="M52" i="5"/>
  <c r="O52" i="5" s="1"/>
  <c r="L52" i="5"/>
  <c r="J52" i="5"/>
  <c r="G52" i="5"/>
  <c r="I52" i="5" s="1"/>
  <c r="F52" i="5"/>
  <c r="D52" i="5"/>
  <c r="M51" i="5"/>
  <c r="O51" i="5" s="1"/>
  <c r="L51" i="5"/>
  <c r="J51" i="5"/>
  <c r="G51" i="5"/>
  <c r="I51" i="5" s="1"/>
  <c r="F51" i="5"/>
  <c r="D51" i="5"/>
  <c r="Q50" i="5"/>
  <c r="I59" i="5" l="1"/>
  <c r="O59" i="5"/>
  <c r="I50" i="5"/>
  <c r="O50" i="5"/>
  <c r="P59" i="5" l="1"/>
  <c r="P50" i="5"/>
  <c r="M48" i="5"/>
  <c r="O48" i="5" s="1"/>
  <c r="L48" i="5"/>
  <c r="J48" i="5"/>
  <c r="G48" i="5"/>
  <c r="I48" i="5" s="1"/>
  <c r="F48" i="5"/>
  <c r="D48" i="5"/>
  <c r="M47" i="5"/>
  <c r="O47" i="5" s="1"/>
  <c r="L47" i="5"/>
  <c r="J47" i="5"/>
  <c r="G47" i="5"/>
  <c r="I47" i="5" s="1"/>
  <c r="F47" i="5"/>
  <c r="D47" i="5"/>
  <c r="M46" i="5"/>
  <c r="O46" i="5" s="1"/>
  <c r="L46" i="5"/>
  <c r="J46" i="5"/>
  <c r="G46" i="5"/>
  <c r="I46" i="5" s="1"/>
  <c r="F46" i="5"/>
  <c r="D46" i="5"/>
  <c r="M45" i="5"/>
  <c r="O45" i="5" s="1"/>
  <c r="L45" i="5"/>
  <c r="J45" i="5"/>
  <c r="G45" i="5"/>
  <c r="I45" i="5" s="1"/>
  <c r="F45" i="5"/>
  <c r="D45" i="5"/>
  <c r="M44" i="5"/>
  <c r="O44" i="5" s="1"/>
  <c r="L44" i="5"/>
  <c r="J44" i="5"/>
  <c r="F44" i="5"/>
  <c r="D44" i="5"/>
  <c r="Q43" i="5"/>
  <c r="M41" i="5"/>
  <c r="O41" i="5" s="1"/>
  <c r="L41" i="5"/>
  <c r="J41" i="5"/>
  <c r="G41" i="5"/>
  <c r="I41" i="5" s="1"/>
  <c r="F41" i="5"/>
  <c r="D41" i="5"/>
  <c r="M40" i="5"/>
  <c r="O40" i="5" s="1"/>
  <c r="L40" i="5"/>
  <c r="J40" i="5"/>
  <c r="G40" i="5"/>
  <c r="I40" i="5" s="1"/>
  <c r="F40" i="5"/>
  <c r="D40" i="5"/>
  <c r="M39" i="5"/>
  <c r="O39" i="5" s="1"/>
  <c r="L39" i="5"/>
  <c r="J39" i="5"/>
  <c r="G39" i="5"/>
  <c r="I39" i="5" s="1"/>
  <c r="F39" i="5"/>
  <c r="D39" i="5"/>
  <c r="M38" i="5"/>
  <c r="O38" i="5" s="1"/>
  <c r="L38" i="5"/>
  <c r="J38" i="5"/>
  <c r="G38" i="5"/>
  <c r="I38" i="5" s="1"/>
  <c r="F38" i="5"/>
  <c r="D38" i="5"/>
  <c r="M34" i="5"/>
  <c r="O34" i="5" s="1"/>
  <c r="L34" i="5"/>
  <c r="J34" i="5"/>
  <c r="G34" i="5"/>
  <c r="I34" i="5" s="1"/>
  <c r="F34" i="5"/>
  <c r="D34" i="5"/>
  <c r="Q33" i="5"/>
  <c r="D18" i="6" s="1"/>
  <c r="M31" i="5"/>
  <c r="O31" i="5" s="1"/>
  <c r="L31" i="5"/>
  <c r="J31" i="5"/>
  <c r="G31" i="5"/>
  <c r="I31" i="5" s="1"/>
  <c r="F31" i="5"/>
  <c r="D31" i="5"/>
  <c r="M30" i="5"/>
  <c r="O30" i="5" s="1"/>
  <c r="L30" i="5"/>
  <c r="J30" i="5"/>
  <c r="G30" i="5"/>
  <c r="I30" i="5" s="1"/>
  <c r="F30" i="5"/>
  <c r="D30" i="5"/>
  <c r="M29" i="5"/>
  <c r="O29" i="5" s="1"/>
  <c r="L29" i="5"/>
  <c r="J29" i="5"/>
  <c r="G29" i="5"/>
  <c r="I29" i="5" s="1"/>
  <c r="F29" i="5"/>
  <c r="D29" i="5"/>
  <c r="M28" i="5"/>
  <c r="O28" i="5" s="1"/>
  <c r="L28" i="5"/>
  <c r="J28" i="5"/>
  <c r="G28" i="5"/>
  <c r="I28" i="5" s="1"/>
  <c r="F28" i="5"/>
  <c r="D28" i="5"/>
  <c r="M17" i="5"/>
  <c r="O17" i="5" s="1"/>
  <c r="L17" i="5"/>
  <c r="J17" i="5"/>
  <c r="G17" i="5"/>
  <c r="I17" i="5" s="1"/>
  <c r="F17" i="5"/>
  <c r="D17" i="5"/>
  <c r="Q16" i="5"/>
  <c r="D17" i="6" s="1"/>
  <c r="K190" i="6"/>
  <c r="K187" i="6"/>
  <c r="K11" i="6"/>
  <c r="K10" i="6"/>
  <c r="Q9" i="5"/>
  <c r="O43" i="5" l="1"/>
  <c r="I33" i="5"/>
  <c r="H18" i="6" s="1"/>
  <c r="O33" i="5"/>
  <c r="I18" i="6" s="1"/>
  <c r="M18" i="6" s="1"/>
  <c r="O16" i="5"/>
  <c r="I17" i="6" s="1"/>
  <c r="M17" i="6" s="1"/>
  <c r="M20" i="6" l="1"/>
  <c r="L18" i="6"/>
  <c r="N18" i="6" s="1"/>
  <c r="J18" i="6"/>
  <c r="P33" i="5"/>
  <c r="G11" i="6" l="1"/>
  <c r="F11" i="6"/>
  <c r="E11" i="6"/>
  <c r="D11" i="6" s="1"/>
  <c r="G190" i="6"/>
  <c r="F190" i="6"/>
  <c r="E190" i="6"/>
  <c r="G187" i="6"/>
  <c r="F187" i="6"/>
  <c r="E187" i="6"/>
  <c r="G10" i="6"/>
  <c r="F10" i="6"/>
  <c r="E10" i="6"/>
  <c r="M190" i="6" l="1"/>
  <c r="M191" i="6" s="1"/>
  <c r="L190" i="6"/>
  <c r="M187" i="6"/>
  <c r="L10" i="6"/>
  <c r="L187" i="6"/>
  <c r="M10" i="6"/>
  <c r="R27" i="7" l="1"/>
  <c r="O99" i="5"/>
  <c r="M195" i="6" l="1"/>
  <c r="N190" i="6" l="1"/>
  <c r="N191" i="6" s="1"/>
  <c r="N187" i="6"/>
  <c r="J190" i="6"/>
  <c r="M188" i="6"/>
  <c r="L188" i="6"/>
  <c r="J187" i="6"/>
  <c r="M14" i="5"/>
  <c r="O14" i="5" s="1"/>
  <c r="L14" i="5"/>
  <c r="J14" i="5"/>
  <c r="G14" i="5"/>
  <c r="I14" i="5" s="1"/>
  <c r="F14" i="5"/>
  <c r="D14" i="5"/>
  <c r="M13" i="5"/>
  <c r="O13" i="5" s="1"/>
  <c r="L13" i="5"/>
  <c r="J13" i="5"/>
  <c r="G13" i="5"/>
  <c r="I13" i="5" s="1"/>
  <c r="F13" i="5"/>
  <c r="D13" i="5"/>
  <c r="M12" i="5"/>
  <c r="O12" i="5" s="1"/>
  <c r="L12" i="5"/>
  <c r="J12" i="5"/>
  <c r="G12" i="5"/>
  <c r="I12" i="5" s="1"/>
  <c r="F12" i="5"/>
  <c r="D12" i="5"/>
  <c r="M11" i="5"/>
  <c r="O11" i="5" s="1"/>
  <c r="L11" i="5"/>
  <c r="J11" i="5"/>
  <c r="G11" i="5"/>
  <c r="I11" i="5" s="1"/>
  <c r="F11" i="5"/>
  <c r="D11" i="5"/>
  <c r="M10" i="5"/>
  <c r="O10" i="5" s="1"/>
  <c r="L10" i="5"/>
  <c r="J10" i="5"/>
  <c r="G10" i="5"/>
  <c r="I10" i="5" s="1"/>
  <c r="F10" i="5"/>
  <c r="D10" i="5"/>
  <c r="G7" i="1"/>
  <c r="G27" i="5" s="1"/>
  <c r="I27" i="5" s="1"/>
  <c r="I16" i="5" s="1"/>
  <c r="G15" i="1"/>
  <c r="G22" i="1"/>
  <c r="H22" i="1"/>
  <c r="H15" i="1"/>
  <c r="H7" i="1"/>
  <c r="P16" i="5" l="1"/>
  <c r="H17" i="6"/>
  <c r="K23" i="7"/>
  <c r="I23" i="7"/>
  <c r="O23" i="7"/>
  <c r="G23" i="7"/>
  <c r="M23" i="7"/>
  <c r="S23" i="7"/>
  <c r="Q23" i="7"/>
  <c r="E23" i="7"/>
  <c r="G44" i="5"/>
  <c r="I44" i="5" s="1"/>
  <c r="I43" i="5" s="1"/>
  <c r="N188" i="6"/>
  <c r="L191" i="6"/>
  <c r="I9" i="5"/>
  <c r="H11" i="6" s="1"/>
  <c r="O9" i="5"/>
  <c r="I11" i="6" s="1"/>
  <c r="M11" i="6" s="1"/>
  <c r="J11" i="6" l="1"/>
  <c r="L11" i="6"/>
  <c r="N11" i="6" s="1"/>
  <c r="J17" i="6"/>
  <c r="L17" i="6"/>
  <c r="O22" i="7"/>
  <c r="M22" i="7"/>
  <c r="I22" i="7"/>
  <c r="G22" i="7"/>
  <c r="K22" i="7"/>
  <c r="Q22" i="7"/>
  <c r="S22" i="7"/>
  <c r="E22" i="7"/>
  <c r="P43" i="5"/>
  <c r="M12" i="6"/>
  <c r="M192" i="6" s="1"/>
  <c r="P9" i="5"/>
  <c r="L20" i="6" l="1"/>
  <c r="N17" i="6"/>
  <c r="N20" i="6" s="1"/>
  <c r="J10" i="6"/>
  <c r="O10" i="7" l="1"/>
  <c r="M10" i="7"/>
  <c r="I10" i="7"/>
  <c r="K10" i="7"/>
  <c r="G10" i="7"/>
  <c r="S10" i="7"/>
  <c r="Q10" i="7"/>
  <c r="E10" i="7"/>
  <c r="N10" i="6"/>
  <c r="N12" i="6" s="1"/>
  <c r="L12" i="6"/>
  <c r="L192" i="6" s="1"/>
  <c r="I9" i="7" l="1"/>
  <c r="I24" i="7" s="1"/>
  <c r="G9" i="7"/>
  <c r="G24" i="7" s="1"/>
  <c r="M9" i="7"/>
  <c r="M24" i="7" s="1"/>
  <c r="K9" i="7"/>
  <c r="K24" i="7" s="1"/>
  <c r="O9" i="7"/>
  <c r="O24" i="7" s="1"/>
  <c r="N192" i="6"/>
  <c r="S9" i="7"/>
  <c r="S24" i="7" s="1"/>
  <c r="Q9" i="7"/>
  <c r="Q24" i="7" s="1"/>
  <c r="E9" i="7"/>
  <c r="E24" i="7" s="1"/>
  <c r="D24" i="7" l="1"/>
  <c r="D25" i="7" s="1"/>
  <c r="P24" i="7"/>
  <c r="R24" i="7"/>
  <c r="N24" i="7"/>
  <c r="L24" i="7"/>
  <c r="F24" i="7"/>
  <c r="J24" i="7"/>
  <c r="H24" i="7"/>
  <c r="E25" i="7"/>
  <c r="G25" i="7" s="1"/>
  <c r="F25" i="7" s="1"/>
  <c r="I25" i="7" l="1"/>
  <c r="H25" i="7" s="1"/>
  <c r="K25" i="7" l="1"/>
  <c r="J25" i="7" s="1"/>
  <c r="M25" i="7" l="1"/>
  <c r="L25" i="7" s="1"/>
  <c r="O25" i="7" l="1"/>
  <c r="N25" i="7" s="1"/>
  <c r="Q25" i="7" l="1"/>
  <c r="P25" i="7" s="1"/>
  <c r="S25" i="7" l="1"/>
  <c r="R25" i="7" s="1"/>
</calcChain>
</file>

<file path=xl/sharedStrings.xml><?xml version="1.0" encoding="utf-8"?>
<sst xmlns="http://schemas.openxmlformats.org/spreadsheetml/2006/main" count="1365" uniqueCount="630">
  <si>
    <t>Endereço: RUA GAL. FLORES DA CUNHA, 245 - TRIUNFO</t>
  </si>
  <si>
    <t>CÓDIGO</t>
  </si>
  <si>
    <t>CONTATO</t>
  </si>
  <si>
    <t>UNIDADE</t>
  </si>
  <si>
    <t>DATA BASE</t>
  </si>
  <si>
    <t>VALOR COTADO</t>
  </si>
  <si>
    <t>UND</t>
  </si>
  <si>
    <t>CNPJ</t>
  </si>
  <si>
    <t>NOME DA EMPRESA FORNECEDORA</t>
  </si>
  <si>
    <t>DATA COTAÇÃO</t>
  </si>
  <si>
    <t>PREÇO</t>
  </si>
  <si>
    <t>TELEFONE / LINK</t>
  </si>
  <si>
    <t>DESCRIÇÃO DO SERVIÇO OU FORNECIMENTO</t>
  </si>
  <si>
    <r>
      <t xml:space="preserve">Cliente: </t>
    </r>
    <r>
      <rPr>
        <u/>
        <sz val="12"/>
        <color theme="1"/>
        <rFont val="Calibri"/>
        <family val="2"/>
        <scheme val="minor"/>
      </rPr>
      <t>PREFEITURA MUNICIPAL DE TRIUNFO</t>
    </r>
  </si>
  <si>
    <t>PREÇOS UNITÁRIOS - MATERIAIS</t>
  </si>
  <si>
    <t>ITEM</t>
  </si>
  <si>
    <t>DISCRIMINAÇÃO</t>
  </si>
  <si>
    <t>REFERÊNCIA</t>
  </si>
  <si>
    <t>P. UNIT.</t>
  </si>
  <si>
    <t>PREÇOS UNITÁRIOS - MÃO DE OBRA</t>
  </si>
  <si>
    <t>SERVIÇO</t>
  </si>
  <si>
    <t>UND. / REF.</t>
  </si>
  <si>
    <t>MATERIAL</t>
  </si>
  <si>
    <t>CUSTO</t>
  </si>
  <si>
    <t>COEF.</t>
  </si>
  <si>
    <t>TOTAL MAT</t>
  </si>
  <si>
    <t>REF.</t>
  </si>
  <si>
    <t>MÃO DE OBRA</t>
  </si>
  <si>
    <t xml:space="preserve">CUSTO </t>
  </si>
  <si>
    <t>TOTAL MO</t>
  </si>
  <si>
    <t>TOTAL COMPOSIÇÃO</t>
  </si>
  <si>
    <t>COMPOSIÇÕES DE CUSTO - SEM BDI</t>
  </si>
  <si>
    <t>CUSTO MATERIAL</t>
  </si>
  <si>
    <t>CUSTO MÃO DE OBRA</t>
  </si>
  <si>
    <t>PLANILHA DE ORÇAMENTO GLOBAL</t>
  </si>
  <si>
    <t>DESCRIÇÃO</t>
  </si>
  <si>
    <t>QTD</t>
  </si>
  <si>
    <t>TOTAL</t>
  </si>
  <si>
    <t>BDI</t>
  </si>
  <si>
    <t>FONTE REFER.</t>
  </si>
  <si>
    <t>VALOR UNITÁRIO</t>
  </si>
  <si>
    <t>VALOR TOTAL COM BDI</t>
  </si>
  <si>
    <t>SERVIÇOS INICIAIS</t>
  </si>
  <si>
    <t>1.1</t>
  </si>
  <si>
    <t>1.2</t>
  </si>
  <si>
    <t>M2</t>
  </si>
  <si>
    <t>SUBTOTAL ITEM 1:</t>
  </si>
  <si>
    <t>FORNECIMENTO E INSTALAÇÃO DE PLACA DE OBRA COM CHAPA GALVANIZADA E ESTRUTURA DE MADEIRA</t>
  </si>
  <si>
    <t>ADMINISTRAÇÃO DE OBRA</t>
  </si>
  <si>
    <t>SUBTOTAL ITEM 2:</t>
  </si>
  <si>
    <t>2.1</t>
  </si>
  <si>
    <t>SUBTOTAL ITEM 3:</t>
  </si>
  <si>
    <t>3.1</t>
  </si>
  <si>
    <t>3.2</t>
  </si>
  <si>
    <t>3.3</t>
  </si>
  <si>
    <t>H</t>
  </si>
  <si>
    <t>SUBTOTAL ITEM 5:</t>
  </si>
  <si>
    <t>SUBTOTAL ITEM 6:</t>
  </si>
  <si>
    <t>COBERTURA</t>
  </si>
  <si>
    <t>IMPERMEABILIZAÇÃO</t>
  </si>
  <si>
    <t>SUBTOTAL ITEM 7:</t>
  </si>
  <si>
    <t>PINTURAS</t>
  </si>
  <si>
    <t>SERVIÇOS FINAIS</t>
  </si>
  <si>
    <t>TOTAL DO ORÇAMENTO:</t>
  </si>
  <si>
    <t>Observações:</t>
  </si>
  <si>
    <t>- Responsável Técnico: Humberto Brandão</t>
  </si>
  <si>
    <t>Triunfo/RS,</t>
  </si>
  <si>
    <t>6.1</t>
  </si>
  <si>
    <t>6.2</t>
  </si>
  <si>
    <t>7.1</t>
  </si>
  <si>
    <t>5.1</t>
  </si>
  <si>
    <t>CRONOGRAMA</t>
  </si>
  <si>
    <t>30 DIAS</t>
  </si>
  <si>
    <t>VALOR (R$)</t>
  </si>
  <si>
    <t>% EXECUÇÃO</t>
  </si>
  <si>
    <t>60 DIAS</t>
  </si>
  <si>
    <t>TOTAL DA ETAPA</t>
  </si>
  <si>
    <t>TOTAL ACUMULADO</t>
  </si>
  <si>
    <t>90 DIAS</t>
  </si>
  <si>
    <t>- Encargos Sociais: 112,77%</t>
  </si>
  <si>
    <t>PLANILHA DE QUANTITATIVOS</t>
  </si>
  <si>
    <t>OBSERVAÇÕES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</si>
  <si>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</si>
  <si>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</si>
  <si>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</si>
  <si>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</si>
  <si>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</si>
  <si>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</si>
  <si>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</si>
  <si>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</si>
  <si>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</si>
  <si>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</si>
  <si>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SUBTOTAL ITEM 4:</t>
  </si>
  <si>
    <t>CP-01</t>
  </si>
  <si>
    <t xml:space="preserve">- BDI: </t>
  </si>
  <si>
    <t>CP-02</t>
  </si>
  <si>
    <t>CP-03</t>
  </si>
  <si>
    <t>CP-04</t>
  </si>
  <si>
    <t>CP-05</t>
  </si>
  <si>
    <t>COTAÇÃO 01</t>
  </si>
  <si>
    <t>COTAÇÃO 02</t>
  </si>
  <si>
    <t>COTAÇÃO 03</t>
  </si>
  <si>
    <t>CP-06</t>
  </si>
  <si>
    <t>CP-07</t>
  </si>
  <si>
    <t>CP-08</t>
  </si>
  <si>
    <t>Obra: IMPLANTAÇÃO DO CENTRO DE ATENÇÃO PSICOSSOCIAL DE TRIUNFO - CAPS</t>
  </si>
  <si>
    <t>Planilha de Orçamento Global - Data: Agosto de 2023</t>
  </si>
  <si>
    <t>Composições de Custo - Data: Agosto de 2023</t>
  </si>
  <si>
    <t>Planilha de Quantitativos - Data: Agosto de 2023</t>
  </si>
  <si>
    <t>Preços Unitários (Materiais) - Data: Agosto de 2023</t>
  </si>
  <si>
    <t>Preços Unitários (Mão de Obra) - Data: Agosto de 2023</t>
  </si>
  <si>
    <t>Demostrativo de Cotações - Data: Agosto de 2023</t>
  </si>
  <si>
    <t>Cronograma - Data: Agosto de 2023</t>
  </si>
  <si>
    <t>LOCAÇÃO DE CONTAINER 2,30 X 6,00 M, ALT 2,50 M, COM 1 SANITÁRIO, PARA ESCRITÓRIO, COMPLETO, SEM DIVISÓRIAS INTERNAS (INCLUSO MOBILIZAÇÃO/DESMOBILIZAÇÃO)</t>
  </si>
  <si>
    <t>MÊS</t>
  </si>
  <si>
    <t>2.2</t>
  </si>
  <si>
    <t>2.3</t>
  </si>
  <si>
    <t>2.4</t>
  </si>
  <si>
    <t>2.5</t>
  </si>
  <si>
    <t>2.6</t>
  </si>
  <si>
    <t>LIMPEZA MECANIZADA DE CAMADA VEGETAL, VEGETAÇÃO E PEQUENAS ÁRVORES (DIÂMETRO DE TRONCO MENOR QUE 0,20 M), COM TRATOR DE ESTEIRAS</t>
  </si>
  <si>
    <t>ENGENHEIRO CIVIL PARA ACOMPANHAMENTO DE OBRA E PROJETO ESTRUTURAL - PROJETO E EXECUÇÃO</t>
  </si>
  <si>
    <t>LOCAÇÃO DE CONTAINER 2,30 X 6,00 M, ALT 2,50 M, COM 1 SANITÁRIO, PARA ESCRITÓRIO, COMPLETO, SEM DIVISÓRIAS INTERNAS (NÃO INCLUI MOBILIZAÇÃO/DESMOBILIZAÇÃO)</t>
  </si>
  <si>
    <t>SINAPI</t>
  </si>
  <si>
    <t>GUINDAUTO HIDRÁULICO, CAPACIDADE MÁXIMA DE CARGA 3300 KG, MOMENTO MÁXIMO DE CARGA 5,8 TM, ALCANCE MÁXIMO HORIZONTAL 7,60 M, INCLUSIVE CAMINHÃO TOCO PBT 16.000 KG, POTÊNCIA DE 189 CV - CHP DIURNO</t>
  </si>
  <si>
    <t>SINAPI - COMPOSIÇÃO</t>
  </si>
  <si>
    <t>- Placa de  2,40 x 1,20 m; SINAPI 103689</t>
  </si>
  <si>
    <t>- Área do Terreno; SINAPI 98525</t>
  </si>
  <si>
    <t>TAPUME COM TELHA METÁLICA</t>
  </si>
  <si>
    <t>FITA AÇO INOX PARA CINTAR POSTE, L = 19 MM, E = 0,5 MM (ROLO DE 30M)</t>
  </si>
  <si>
    <t>CINTA CIRCULAR EM AÇO GALVANIZADO DE 150 MM DE DIÂMETRO PARA FIXAÇÃO DE CAIXA MEDIÇÃO, INCLUI PARAFUSOS E PORCAS</t>
  </si>
  <si>
    <t>ABRACADEIRA EM AÇO PARA AMARRAÇÃO DE ELETRODUTOS, TIPO D, COM 1/2" E PARAFUSO DE FIXAÇÃO</t>
  </si>
  <si>
    <t>CABO DE COBRE, FLEXÍVEL, CLASSE 4 OU 5, ISOLAÇÃO EM PVC/A, ANTICHAMA BWF-B, 1 CONDUTOR, 450/750 V, SEÇÃO NOMINAL 16 MM2</t>
  </si>
  <si>
    <t>CAIXA INTERNA/EXTERNA DE MEDIÇÃO PARA 1 MEDIDOR TRIFÁSICO, COM VISOR, EM CHAPA DE AÇO 18 USG (PADRÃO DA CONCESSIONÁRIA LOCAL)</t>
  </si>
  <si>
    <t>ARMAÇÃO VERTICAL COM HASTE E CONTRA-PINO, EM CHAPA DE AÇO GALVANIZADO 3/16", COM 4 ESTRIBOS E 4 ISOLADORES</t>
  </si>
  <si>
    <t>CONECTOR METÁLICO TIPO PARAFUSO FENDIDO (SPLIT BOLT), PARA CABOS ATE 16 MM2</t>
  </si>
  <si>
    <t>LUVA EM PVC RÍGIDO ROSCÁVEL, DE 1", PARA ELETRODUTO</t>
  </si>
  <si>
    <t>DISJUNTOR TIPO NEMA, TRIPOLAR 10 ATÉ 50A, TENSÃO MÁXIMA DE 415 V</t>
  </si>
  <si>
    <t>ELETRODUTO DE PVC RÍGIDO ROSCÁVEL DE 1 ", SEM LUVA</t>
  </si>
  <si>
    <t>M</t>
  </si>
  <si>
    <t>POSTE ROLIÇO DE MADEIRA TRATADA, D = 20 A 25 CM, H = 12,00 M, EM EUCALIPTO OU EQUIVALENTE DA REGIÃO</t>
  </si>
  <si>
    <t>HASTE DE ATERRAMENTO EM AÇO COM 3,00 M DE COMPRIMENTO E DN = 5/8", REVESTIDA COM BAIXA CAMADA DE COBRE, SEM CONECTOR</t>
  </si>
  <si>
    <t>PARAFUSO DE FERRO POLIDO, SEXTAVADO, COM ROSCA PARCIAL, DIÂMETRO 5/8", COMPRIMENTO 6", COM PORCA E ARRUELA DE PRESSÃO MÉDIA</t>
  </si>
  <si>
    <t>ARRUELA LISA, REDONDA, DE LATÃO POLIDO, DIÂMETRO NOMINAL 5/8", DIÂMETRO EXTERNO = 34 MM, DIÂMETRO DO FURO = 17 MM, ESPESSURA = 2,5 MM</t>
  </si>
  <si>
    <t>CURVA 180 GRAUS, DE PVC RÍGIDO ROSCÁVEL, DE 3/4", PARA ELETRODUTO</t>
  </si>
  <si>
    <t>SERVENTE COM ENCARGOS COMPLEMENTARES</t>
  </si>
  <si>
    <t>ELETRICISTA COM ENCARGOS COMPLEMENTARES</t>
  </si>
  <si>
    <t>INSTALAÇÃO/LIGAÇÃO PROVISÓRIA DE ENERGIA ELÉTRICA DE BAIXA TENSÃO PARA CANTEIRO DE OBRAS EM POSTE DE MADEIRA COM ATERRAMENTO</t>
  </si>
  <si>
    <t>ENCANADOR OU BOMBEIRO HIDRÁULICO COM ENCARGOS COMPLEMENTARES</t>
  </si>
  <si>
    <t>AUXILIAR DE ENCANADOR OU BOMBEIRO HIDRÁULICO COM ENCARGOS COMPLEMENTARES</t>
  </si>
  <si>
    <t>COLAR TOMADA PVC, COM TRAVAS, SAÍDA COM ROSCA, DE 50 MM X 1/2" OU 50 MM X 3/4", PARA LIGAÇÃO PREDIAL DE ÁGUA</t>
  </si>
  <si>
    <t>FITA VEDA ROSCA EM ROLOS DE 18 MM X 50 M (L X C)</t>
  </si>
  <si>
    <t>LUVA DE REDUÇÃO ROSCÁVEL, PVC, 1" X 3/4", PARA ÁGUA FRIA PREDIAL</t>
  </si>
  <si>
    <t>REGISTRO DE ESFERA PVC, COM CABECA QUADRADA, COM ROSCA EXTERNA, 1/2"</t>
  </si>
  <si>
    <t>ADESIVO PLÁSTICO PARA PVC, FRASCO COM 850 GR</t>
  </si>
  <si>
    <t>KIT CAVALETE PARA MEDIÇÃO DE ÁGUA - ENTRADA PRINCIPAL, EM PVC SOLDÁVEL DN 20 (½") FORNECIMENTO E INSTALAÇÃO (EXCLUSIVE HIDRÔMETRO)</t>
  </si>
  <si>
    <t>SOLUÇÃO PREPARADORA / LIMPADORA PARA PVC, FRASCO COM 1000 CM3</t>
  </si>
  <si>
    <t>HIDRÔMETRO DN 25 (¾ ), 5,0 M³/H FORNECIMENTO E INSTALAÇÃO</t>
  </si>
  <si>
    <t>LIGAÇÃO PROVISÓRIA DE ÁGUA</t>
  </si>
  <si>
    <t>LOCAÇÃO CONVENCIONAL DE OBRA, UTILIZANDO GABARITO DE TÁBUAS CORRIDAS PONTALETADAS A CADA 2,00M - 2 UTILIZAÇÕES</t>
  </si>
  <si>
    <t>- SINAPI 99059</t>
  </si>
  <si>
    <t>INFRAESTRUTURA E TERRAPLENAGEM</t>
  </si>
  <si>
    <t>ESTACA ESCAVADA MECANICAMENTE, SEM FLUIDO ESTABILIZANTE, COM 25CM DE DIÂMETRO, CONCRETO LANÇADO POR CAMINHÃO BETONEIRA</t>
  </si>
  <si>
    <t>ESCAVAÇÃO MANUAL PARA BLOCO DE COROAMENTO OU SAPATA (SEM ESCAVAÇÃO PARA COLOCAÇÃO DE FORMAS)</t>
  </si>
  <si>
    <t>M3</t>
  </si>
  <si>
    <t>- 40 Blocos de coroamento com dimensões 0,6x0,6x0,6 m; SINAPI 96522</t>
  </si>
  <si>
    <t>ESCAVAÇÃO MANUAL DE VALA PARA VIGA BALDRAME (INCLUINDO ESCAVAÇÃO PARA COLOCAÇÃO DE FORMAS)</t>
  </si>
  <si>
    <t>- Vigas baldrame e Embasamento de grês; SINAPI 96527</t>
  </si>
  <si>
    <t>LASTRO COM MATERIAL GRANULAR, APLICAÇÃO EM BLOCOS DE COROAMENTO, ESPESSURA DE 5 CM</t>
  </si>
  <si>
    <t>- SINAPI 96621</t>
  </si>
  <si>
    <t>LASTRO COM MATERIAL GRANULAR, APLICADO EM VIGAS SOBRE SOLO, ESPESSURA DE 5 CM</t>
  </si>
  <si>
    <t>- SINAPI 96622</t>
  </si>
  <si>
    <t>3.7</t>
  </si>
  <si>
    <t>3.8</t>
  </si>
  <si>
    <t>3.9</t>
  </si>
  <si>
    <t>3.10</t>
  </si>
  <si>
    <t>3.11</t>
  </si>
  <si>
    <t>FABRICAÇÃO, MONTAGEM E DESMONTAGEM DE FORMA PARA BLOCO DE COROAMENTO, EM MADEIRA SERRADA, E=25 MM, 2 UTILIZAÇÕES</t>
  </si>
  <si>
    <t>- SINAPI 96531</t>
  </si>
  <si>
    <t>FABRICAÇÃO, MONTAGEM E DESMONTAGEM DE FORMA PARA VIGA BALDRAME, EM MADEIRA SERRADA, E=25 MM, 2 UTILIZAÇÕES</t>
  </si>
  <si>
    <t>- SINAPI 96533</t>
  </si>
  <si>
    <t>ARMAÇÃO DE BLOCO, VIGA BALDRAME E SAPATA UTILIZANDO AÇO CA-60 DE 5 MM - MONTAGEM</t>
  </si>
  <si>
    <t>KG</t>
  </si>
  <si>
    <t>- Estribos baldrames, espaçamento 20 cm; SINAPI 96543</t>
  </si>
  <si>
    <t>CONCRETAGEM DE BLOCOS DE COROAMENTO E VIGAS BALDRAMES, COM USO DE BOMBA  LANÇAMENTO, ADENSAMENTO E ACABAMENTO</t>
  </si>
  <si>
    <t>- SINAPI 96557</t>
  </si>
  <si>
    <t>ALVENARIA DE EMBASAMENTO COM BLOCO ESTRUTURAL DE CERÂMICA OU GRÊS, DE 14X19X29CM E ARGAMASSA DE ASSENTAMENTO COM PREPARO EM BETONEIRA</t>
  </si>
  <si>
    <t>- Considerado 50 cm de profundidade; SINAPI 101166</t>
  </si>
  <si>
    <t>SUPRAESTRUTURA</t>
  </si>
  <si>
    <t>MONTAGEM E DESMONTAGEM DE FORMA DE PILARES RETANGULARES E ESTRUTURAS SIMILARES, PÉ-DIREITO SIMPLES, EM MADEIRA SERRADA, 2 UTILIZAÇÕES</t>
  </si>
  <si>
    <t>ARMAÇÃO DE BLOCO, VIGA BALDRAME OU SAPATA UTILIZANDO AÇO CA-50 DE 12,5 MM - MONTAGEM</t>
  </si>
  <si>
    <t>- Blocos de coroamento e vigas baldrame; SINAPI 96547</t>
  </si>
  <si>
    <t>MONTAGEM E DESMONTAGEM DE FORMA DE VIGA, ESCORAMENTO COM PONTALETE DE MADEIRA, PÉ-DIREITO SIMPLES, EM MADEIRA SERRADA, 2 UTILIZAÇÕES</t>
  </si>
  <si>
    <t>ARMAÇÃO DE PILAR OU VIGA DE ESTRUTURA CONVENCIONAL DE CONCRETO ARMADO UTILIZANDO AÇO CA-50 DE 6,3 MM - MONTAGEM</t>
  </si>
  <si>
    <t>ARMAÇÃO DE PILAR OU VIGA DE ESTRUTURA CONVENCIONAL DE CONCRETO ARMADO UTILIZANDO AÇO CA-50 DE 10,0 MM - MONTAGEM</t>
  </si>
  <si>
    <t>- Estribos pilares e vigas, espaçamento 20 cm; 2 Pavimentos; SINAPI 92760</t>
  </si>
  <si>
    <t>- 4 Barras; Pilares e vigas; 2 Pavimentos; SINAPI 92762</t>
  </si>
  <si>
    <t>LAJE PRÉ-MOLDADA UNIDIRECIONAL, BIAPOIADA, PARA PISO, ENCHIMENTO EM CERÂMICA, VIGOTA CONVENCIONAL, ALTURA TOTAL DA LAJE (ENCHIMENTO+CAPA) = (8+4)</t>
  </si>
  <si>
    <t>- 230 m² por pavimento e 15 m² da laje do reservatório; SINAPI 101963</t>
  </si>
  <si>
    <t>- 25 h para projeto e 15 h por mês para acompanhamento; SINAPI 90777</t>
  </si>
  <si>
    <t>- Fachada frontal (16 m) com 3 m de altura; SINAPI 98459</t>
  </si>
  <si>
    <t>- 40 Pontos com 3 m de profundidade; SINAPI 100896</t>
  </si>
  <si>
    <t>- 40 Pilares 0,2x0,2 cm com Pé-Direito 3,1 m, 2 Pavimentos; SINAPI 92411</t>
  </si>
  <si>
    <t>- Vigas 40x20 cm (65 m); Vigas 30x20 cm (102 m); 2 Pavimentos; SINAPI 92447</t>
  </si>
  <si>
    <t>ESCADA EM CONCRETO ARMADO MOLDADO IN LOCO, FCK 25 MPA, COM 2 LANCES EM U E LAJE PLANA, FORMA EM SERRADA</t>
  </si>
  <si>
    <t>ARMAÇÃO DE ESCADA, DE UMA ESTRUTURA CONVENCIONAL DE CONCRETO ARMADO UTILIZANDO AÇO CA-60 DE 5,0 MM - MONTAGEM</t>
  </si>
  <si>
    <t>ARMAÇÃO DE ESCADA, DE UMA ESTRUTURA CONVENCIONAL DE CONCRETO ARMADO UTILIZANDO AÇO CA-50 DE 10,0 MM - MONTAGEM</t>
  </si>
  <si>
    <t>MONTAGEM E DESMONTAGEM DE FORMA PARA ESCADAS, COM 2 LANCES EM "U" E LAJE PLANA, EM MADEIRA SERRADA, 2 UTILIZAÇÕES</t>
  </si>
  <si>
    <t>CONCRETAGEM DE VIGAS E LAJES, FCK=25 MPA, PARA LAJES MACIÇAS OU NERVURADAS COM USO DE BOMBA - LANÇAMENTO, ADENSAMENTO E ACABAMENTO</t>
  </si>
  <si>
    <t>- Considerado lance de 16 degraus, 17,5 x 28 cm; Análoga SINAPI 102074</t>
  </si>
  <si>
    <t>4.8</t>
  </si>
  <si>
    <t>CONCRETAGEM DE PILARES, FCK = 25 MPA, COM USO DE BOMBA - LANÇAMENTO, ADENSAMENTO E ACABAMENTO</t>
  </si>
  <si>
    <t>- SINAPI 103672</t>
  </si>
  <si>
    <t>CONCRETAGEM DE VIGAS E LAJES, FCK=25 MPA, PARA LAJES PRÉ-MOLDADAS COM USO DE BOMBA - LANÇAMENTO, ADENSAMENTO E ACABAMENTO</t>
  </si>
  <si>
    <t>- Vigas 2 pavimentos; SINAPI 103674</t>
  </si>
  <si>
    <t>PAREDES E PAINÉIS</t>
  </si>
  <si>
    <t>5.2</t>
  </si>
  <si>
    <t>5.3</t>
  </si>
  <si>
    <t>5.4</t>
  </si>
  <si>
    <t>5.5</t>
  </si>
  <si>
    <t>5.6</t>
  </si>
  <si>
    <t>ALVENARIA DE VEDAÇÃO DE BLOCOS CERÂMICOS FURADOS NA HORIZONTAL DE 9X14X19 CM (ESPESSURA 9 CM) E ARGAMASSA DE ASSENTAMENTO COM PREPARO EM BETONEIRA</t>
  </si>
  <si>
    <t>- Quantitativo fornecido Samanta/Mariana; SINAPI 103332</t>
  </si>
  <si>
    <t>VERGA MOLDADA IN LOCO EM CONCRETO PARA JANELAS COM ATÉ 1,5 M DE VÃO</t>
  </si>
  <si>
    <t>- SINAPI 93186</t>
  </si>
  <si>
    <t>VERGA MOLDADA IN LOCO EM CONCRETO PARA PORTAS COM ATÉ 1,5 M DE VÃO</t>
  </si>
  <si>
    <t>- SINAPI 93188</t>
  </si>
  <si>
    <t>VERGA MOLDADA IN LOCO EM CONCRETO PARA PORTAS COM MAIS DE 1,5 M DE VÃO</t>
  </si>
  <si>
    <t>- SINAPI 93189</t>
  </si>
  <si>
    <t>CONTRAVERGA MOLDADA IN LOCO EM CONCRETO PARA VÃOS DE ATÉ 1,5 M DE COMPRIMENTO</t>
  </si>
  <si>
    <t>- SINAPI 93196</t>
  </si>
  <si>
    <t>REVESTIMENTOS</t>
  </si>
  <si>
    <t>ÁREA INTERNA</t>
  </si>
  <si>
    <t>6.1.1</t>
  </si>
  <si>
    <t>6.1.2</t>
  </si>
  <si>
    <t>6.1.3</t>
  </si>
  <si>
    <t>6.1.4</t>
  </si>
  <si>
    <t>CHAPISCO APLICADO EM ALVENARIAS E ESTRUTURAS DE CONCRETO INTERNAS, COM COLHER DE PEDREIRO. ARGAMASSA TRAÇO 1:3 COM PREPARO EM BETONEIRA 400L</t>
  </si>
  <si>
    <t>- Quantitativo fornecido Samanta/Mariana; SINAPI 87879</t>
  </si>
  <si>
    <t>MASSA ÚNICA, PARA RECEBIMENTO DE PINTURA, EM ARGAMASSA TRAÇO 1:2:8, PREPARO MECÂNICO COM BETONEIRA 400L, APLICADA MANUALMENTE EM FACES INTERNAS DE PAREDES, ESPESSURA DE 20MM, COM EXECUÇÃO DE TALISCAS</t>
  </si>
  <si>
    <t>- Quantitativo fornecido Samanta/Mariana; SINAPI 87529</t>
  </si>
  <si>
    <t>EMBOÇO, PARA RECEBIMENTO DE CERÂMICA, EM ARGAMASSA TRAÇO 1:2:8, PREPARO MECÂNICO COM BETONEIRA 400L, APLICADO MANUALMENTE EM FACES INTERNAS DE PAREDES, PARA AMBIENTE COM ÁREA ENTRE 5M2 E 10M2, ESPESSURA DE 20MM, COM EXECUÇÃO DE TALISCAS</t>
  </si>
  <si>
    <t>- Quantitativo fornecido Samanta/Mariana; SINAPI 87531</t>
  </si>
  <si>
    <t>REVESTIMENTO CERÂMICO PARA PAREDES INTERNAS COM PLACAS TIPO ESMALTADA EXTRA DE DIMENSÕES 20X20 CM APLICADAS NA ALTURA INTEIRA DAS PAREDES</t>
  </si>
  <si>
    <t>- Quantitativo fornecido Samanta/Mariana; SINAPI 87265</t>
  </si>
  <si>
    <t>ÁREA EXTERNA</t>
  </si>
  <si>
    <t>6.2.1</t>
  </si>
  <si>
    <t>6.2.2</t>
  </si>
  <si>
    <t>CHAPISCO APLICADO EM ALVENARIA (COM PRESENÇA DE VÃOS) E ESTRUTURAS DE CONCRETO DE FACHADA, COM COLHER DE PEDREIRO. ARGAMASSA TRAÇO 1:3 COM PREPARO EM BETONEIRA 400L</t>
  </si>
  <si>
    <t>- Quantitativo fornecido Samanta/Mariana; SINAPI 87905</t>
  </si>
  <si>
    <t>EMBOÇO OU MASSA ÚNICA EM ARGAMASSA TRAÇO 1:2:8, PREPARO MECÂNICO COM BETONEIRA 400 L, APLICADA MANUALMENTE EM PANOS DE FACHADA COM PRESENÇA DE VÃOS, ESPESSURA DE 25 MM</t>
  </si>
  <si>
    <t>- Quantitativo fornecido Samanta/Mariana; SINAPI 87775</t>
  </si>
  <si>
    <t>3.12</t>
  </si>
  <si>
    <t>3.13</t>
  </si>
  <si>
    <t>REATERRO MANUAL APILOADO COM SOQUETE</t>
  </si>
  <si>
    <t>- Reaterro para piso, camada de 20cm; SINAPI 96995</t>
  </si>
  <si>
    <t>FABRICAÇÃO E INSTALAÇÃO DE TESOURA INTEIRA EM MADEIRA NÃO APARELHADA, VÃO DE 11 M, PARA TELHA ONDULADA DE FIBROCIMENTO, METÁLICA, PLÁSTICA OU TERMOACÚSTICA, INCLUSO IÇAMENTO</t>
  </si>
  <si>
    <t>- Distância entre tesouras de 3 m; SINAPI 92563</t>
  </si>
  <si>
    <t>TRAMA DE MADEIRA COMPOSTA POR TERÇAS PARA TELHADOS DE ATÉ 2 ÁGUAS PARA TELHA ONDULADA DE FIBROCIMENTO, METÁLICA, PLÁSTICA OU TERMOACÚSTICA, INCLUSO TRANSPORTE VERTICAL</t>
  </si>
  <si>
    <t>- Quantitativo fornecido Samanta/Mariana; SINAPI 92543</t>
  </si>
  <si>
    <t>TELHAMENTO COM TELHA ONDULADA DE FIBROCIMENTO E = 6 MM, COM RECOBRIMENTO LATERAL DE 1/4 DE ONDA PARA TELHADO COM INCLINAÇÃO MAIOR QUE 10°, COM ATÉ 2 ÁGUAS, INCLUSO IÇAMENTO</t>
  </si>
  <si>
    <t>- SINAPI 94207</t>
  </si>
  <si>
    <t>CUMEEIRA PARA TELHA DE FIBROCIMENTO ONDULADA E = 6 MM, INCLUSO ACESSÓRIOS DE FIXAÇÃO E IÇAMENTO</t>
  </si>
  <si>
    <t>- SINAPI 94223</t>
  </si>
  <si>
    <t>RUFO EXTERNO/INTERNO EM CHAPA DE AÇO GALVANIZADO NÚMERO 26, CORTE DE 33 CM, INCLUSO IÇAMENTO</t>
  </si>
  <si>
    <t>- Quantitativo fornecido Samanta/Mariana; SINAPI 100327</t>
  </si>
  <si>
    <t>CALHA EM CHAPA DE AÇO GALVANIZADO NÚMERO 24, DESENVOLVIMENTO DE 50 CM, INCLUSO TRANSPORTE VERTICAL</t>
  </si>
  <si>
    <t>- Quantitativo fornecido Samanta/Mariana; SINAPI 94228</t>
  </si>
  <si>
    <t>7.2</t>
  </si>
  <si>
    <t>7.3</t>
  </si>
  <si>
    <t>7.4</t>
  </si>
  <si>
    <t>7.5</t>
  </si>
  <si>
    <t>7.6</t>
  </si>
  <si>
    <t>8.1</t>
  </si>
  <si>
    <t>8.2</t>
  </si>
  <si>
    <t>LASTRO DE CONCRETO MAGRO, APLICADO EM PISOS, LAJES SOBRE SOLO OU RADIERS, ESPESSURA DE 5 CM</t>
  </si>
  <si>
    <t>IMPERMEABILIZAÇÃO DE SUPERFÍCIE COM EMULSÃO ASFÁLTICA, 2 DEMÃOS</t>
  </si>
  <si>
    <t>- Vigas baldrame; SINAPI 98557</t>
  </si>
  <si>
    <t>IMPERMEABILIZAÇÃO DE SUPERFÍCIE COM ARGAMASSA POLIMÉRICA / MEMBRANA ACRÍLICA, 3 DEMÃOS</t>
  </si>
  <si>
    <t>- Piso de áreas molhadas; SINAPI 98555</t>
  </si>
  <si>
    <t>6.1.5</t>
  </si>
  <si>
    <t>6.1.6</t>
  </si>
  <si>
    <t>CHAPISCO APLICADO NO TETO OU EM ESTRUTURA, COM DESEMPENADEIRA DENTADA. ARGAMASSA INDUSTRIALIZADA COM PREPARO MANUAL</t>
  </si>
  <si>
    <t>- 2 Pavimentos; SINAPI 87886</t>
  </si>
  <si>
    <t>MASSA ÚNICA, PARA RECEBIMENTO DE PINTURA, EM ARGAMASSA TRAÇO 1:2:8, PREPARO MECÂNICO COM BETONEIRA 400L, APLICADA MANUALMENTE EM TETO, ESPESSURA DE 10MM, COM EXECUÇÃO DE TALISCAS</t>
  </si>
  <si>
    <t>- 2 Pavimentos; SINAPI 90408</t>
  </si>
  <si>
    <t>FUNDO SELADOR ACRÍLICO, APLICAÇÃO MANUAL EM TETO, UMA DEMÃO</t>
  </si>
  <si>
    <t>- 2 Pavimentos; SINAPI 88484</t>
  </si>
  <si>
    <t>APLICAÇÃO MANUAL DE FUNDO SELADOR ACRÍLICO EM PAREDES EXTERNAS DE CASAS</t>
  </si>
  <si>
    <t>FUNDO SELADOR ACRÍLICO, APLICAÇÃO MANUAL EM PAREDE, UMA DEMÃO</t>
  </si>
  <si>
    <t>- SINAPI 88415</t>
  </si>
  <si>
    <t>- SINAPI 88485</t>
  </si>
  <si>
    <t>EMASSAMENTO COM MASSA LÁTEX, APLICAÇÃO EM TETO, UMA DEMÃO, LIXAMENTO MANUAL</t>
  </si>
  <si>
    <t>EMASSAMENTO COM MASSA LÁTEX, APLICAÇÃO EM PAREDE, DUAS DEMÃOS, LIXAMENTO MANUAL</t>
  </si>
  <si>
    <t>- SINAPI 88494</t>
  </si>
  <si>
    <t>- SINAPI 88497</t>
  </si>
  <si>
    <t>PINTURA LÁTEX ACRÍLICA STANDARD, APLICAÇÃO MANUAL EM PAREDES, DUAS DEMÃOS</t>
  </si>
  <si>
    <t>PINTURA LÁTEX ACRÍLICA STANDARD, APLICAÇÃO MANUAL EM TETO, DUAS DEMÃOS</t>
  </si>
  <si>
    <t>- SINAPI 104640</t>
  </si>
  <si>
    <t>- SINAPI 104642</t>
  </si>
  <si>
    <t>LIXAMENTO MANUAL EM SUPERFÍCIES METÁLICAS EM OBRA</t>
  </si>
  <si>
    <t>- Corrimão de 8,3 m; SINAPI 100717</t>
  </si>
  <si>
    <t>- SINAPI 100758</t>
  </si>
  <si>
    <t>PINTURA COM TINTA ALQUÍDICA DE ACABAMENTO (ESMALTE SINTÉTICO ACETINADO) APLICADA A ROLO OU PINCEL SOBRE SUPERFÍCIES METÁLICAS (EXCETO PERFIL) EXECUTADO EM OBRA (02 DEMÃOS)</t>
  </si>
  <si>
    <t>PINTURA COM TINTA ALQUÍDICA DE FUNDO (TIPO ZARCÃO) APLICADA A ROLO OU PINCEL SOBRE SUPERFÍCIES METÁLICAS (EXCETO PERFIL) EXECUTADO EM OBRA (POR DEMÃO)</t>
  </si>
  <si>
    <t>- SINAPI 100722</t>
  </si>
  <si>
    <t>LIXAMENTO DE MADEIRA PARA APLICAÇÃO DE FUNDO OU PINTURA</t>
  </si>
  <si>
    <t>- Portas de madeira e guranições; SINAPI 102193</t>
  </si>
  <si>
    <t>PINTURA TINTA DE ACABAMENTO (PIGMENTADA) ESMALTE SINTÉTICO BRILHANTE EM MADEIRA, 2 DEMÃOS</t>
  </si>
  <si>
    <t>- SINAPI 102220</t>
  </si>
  <si>
    <t>PAVIMENTAÇÃO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</si>
  <si>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</si>
  <si>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</si>
  <si>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</si>
  <si>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</si>
  <si>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</si>
  <si>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</si>
  <si>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</si>
  <si>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</si>
  <si>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</si>
  <si>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</si>
  <si>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</si>
  <si>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</si>
  <si>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CONTRAPISO EM ARGAMASSA TRAÇO 1:4 (CIMENTO E AREIA), PREPARO MANUAL, APLICADO EM ÁREAS MOLHADAS SOBRE IMPERMEABILIZAÇÃO, ACABAMENTO NÃO REFORÇADO, ESPESSURA 3CM</t>
  </si>
  <si>
    <t>- SINAPI 87757</t>
  </si>
  <si>
    <t>- Lastro para contrapiso interno e calçada; SINAPI 95241</t>
  </si>
  <si>
    <t>EXECUÇÃO DE PASSEIO (CALÇADA) OU PISO DE CONCRETO COM CONCRETO MOLDADO IN LOCO, USINADO C20, ACABAMENTO CONVENCIONAL, NÃO ARMADO</t>
  </si>
  <si>
    <t>REVESTIMENTO CERÂMICO PARA PISO COM PLACAS TIPO ESMALTADA EXTRA DE DIMENSÕES 35X35 CM APLICADA EM AMBIENTES DE ÁREA MAIOR QUE 10 M2</t>
  </si>
  <si>
    <t>10.1</t>
  </si>
  <si>
    <t>SOLEIRA EM GRANITO, LARGURA 15 CM, ESPESSURA 2,0 CM</t>
  </si>
  <si>
    <t>- 2 Portas de área externa; SINAPI 98689</t>
  </si>
  <si>
    <t>- 2 Pavimentos e acesso; SINAPI 87248</t>
  </si>
  <si>
    <t>10.1.1</t>
  </si>
  <si>
    <t>10.1.2</t>
  </si>
  <si>
    <t>10.1.3</t>
  </si>
  <si>
    <t>10.2</t>
  </si>
  <si>
    <t>10.2.1</t>
  </si>
  <si>
    <t>ESQUADRIAS E ACESSÓRIOS</t>
  </si>
  <si>
    <t>11.1</t>
  </si>
  <si>
    <t>MADEIRA</t>
  </si>
  <si>
    <t>KIT DE PORTA DE MADEIRA PARA PINTURA, SEMI-OCA (LEVE OU MÉDIA), PADRÃO MÉDIO, 80X210CM, ESPESSURA DE 3,5CM, ITENS INCLUSOS: DOBRADIÇAS, MONTAGEM E INSTALAÇÃO DO BATENTE, FECHADURA COM EXECUÇÃO DO FURO - FORNECIMENTO E INSTALAÇÃO</t>
  </si>
  <si>
    <t>- SINAPI 90843</t>
  </si>
  <si>
    <t>KIT DE PORTA DE MADEIRA PARA PINTURA, SEMI-OCA (LEVE OU MÉDIA), PADRÃO MÉDIO, 90X210CM, ESPESSURA DE 3,5CM, ITENS INCLUSOS: DOBRADIÇAS, MONTAGEM E INSTALAÇÃO DO BATENTE, FECHADURA COM EXECUÇÃO DO FURO - FORNECIMENTO E INSTALAÇÃO</t>
  </si>
  <si>
    <t>- SINAPI 90844</t>
  </si>
  <si>
    <t>11.1.1</t>
  </si>
  <si>
    <t>11.1.2</t>
  </si>
  <si>
    <t>12.1</t>
  </si>
  <si>
    <t>12.1.1</t>
  </si>
  <si>
    <t>VIDRO</t>
  </si>
  <si>
    <t>PORTA PIVOTANTE DE VIDRO TEMPERADO, 2 FOLHAS DE 90X210 CM, ESPESSURA DE 10MM, INCLUSIVE ACESSÓRIOS</t>
  </si>
  <si>
    <t>- SINAPI 102183</t>
  </si>
  <si>
    <t>11.2</t>
  </si>
  <si>
    <t>11.3</t>
  </si>
  <si>
    <t>ALUMÍNIO</t>
  </si>
  <si>
    <t>- SINAPI 94570</t>
  </si>
  <si>
    <t>- SINAPI 94569</t>
  </si>
  <si>
    <t>JANELA DE ALUMÍNIO DE CORRER COM 2 FOLHAS PARA VIDROS, COM VIDROS, BATENTE, ACABAMENTO COM ACETATO OU BRILHANTE E FERRAGENS. EXCLUSIVE ALIZAR E CONTRAMARCO - FORNECIMENTO E INSTALAÇÃO</t>
  </si>
  <si>
    <t>JANELA DE ALUMÍNIO TIPO MAXIM-AR, COM VIDROS, BATENTE E FERRAGENS. EXCLUSIVE ALIZAR, ACABAMENTO E CONTRAMARCO - FORNECIMENTO E INSTALAÇÃO</t>
  </si>
  <si>
    <t>CONTRAMARCO DE ALUMÍNIO, FIXAÇÃO COM PARAFUSO - FORNECIMENTO E INSTALAÇÃO</t>
  </si>
  <si>
    <t>- SINAPI 94590</t>
  </si>
  <si>
    <t>GUARNIÇÃO PARA ACABAMENTO DE ESQUADRIA DE ALUMÍNIO. ACABAMENTE CONFORME ESQUADRIA - FORNECIMENTO E INSTALAÇÃO</t>
  </si>
  <si>
    <t>GUARNIÇÃO/MOLDURA/ARREMATE DE ACABAMENTO PARA ESQUADRIA, EM ALUMÍNIO PERFIL 25, ACABAMENTO ANODIZADO BRANCO OU BRILHANTE, PARA 1 FACE</t>
  </si>
  <si>
    <t>CARPINTEIRO DE ESQUADRIA COM ENCARGOS COMPLEMENTARES</t>
  </si>
  <si>
    <t>- Faces Interna e Externa;</t>
  </si>
  <si>
    <t>PORTA EM ALUMÍNIO DE ABRIR TIPO VENEZIANA COM GUARNIÇÃO, FIXAÇÃO COM PARAFUSOS - FORNECIMENTO E INSTALAÇÃO</t>
  </si>
  <si>
    <t>- Porta de aceso reservatórios; SINAPI 91341</t>
  </si>
  <si>
    <t>11.3.1</t>
  </si>
  <si>
    <t>11.3.2</t>
  </si>
  <si>
    <t>11.3.3</t>
  </si>
  <si>
    <t>11.3.4</t>
  </si>
  <si>
    <t>11.3.5</t>
  </si>
  <si>
    <t>11.4</t>
  </si>
  <si>
    <t>11.4.1</t>
  </si>
  <si>
    <t>OUTROS</t>
  </si>
  <si>
    <t>CORRIMÃO, DIÂMETRO EXTERNO = 1 1/2", EM AÇO GALVANIZADO</t>
  </si>
  <si>
    <t>- SINAPI 99855</t>
  </si>
  <si>
    <t>INSTALAÇÕES HIDROSSANITÁRIAS</t>
  </si>
  <si>
    <t>LOUÇAS E EQUIPAMENTOS</t>
  </si>
  <si>
    <t>VASO SANITÁRIO SIFONADO COM CAIXA ACOPLADA LOUÇA BRANCA - PADRÃO MÉDIO, INCLUSO ENGATE FLEXÍVEL EM METAL CROMADO, 1/2 X 40CM - FORNECIMENTO E INSTALAÇÃO</t>
  </si>
  <si>
    <t>- SINAPI 86932</t>
  </si>
  <si>
    <t>VASO SANITÁRIO SIFONADO CONVENCIONAL PARA PCD SEM FURO FRONTAL COM LOUÇA BRANCA SEM ASSENTO, INCLUSO CONJUNTO DE LIGAÇÃO PARA BACIA SANITÁRIA AJUSTÁVEL - FORNECIMENTO E INSTALAÇÃO</t>
  </si>
  <si>
    <t>- SINAPI 95472</t>
  </si>
  <si>
    <t>ASSENTO SANITÁRIO CONVENCIONAL - FORNECIMENTO E INSTALAÇÃO</t>
  </si>
  <si>
    <t>- SINAPI 100849</t>
  </si>
  <si>
    <t>LAVATÓRIO LOUÇA BRANCA SUSPENSO, 29,5 X 39CM OU EQUIVALENTE, INCLUSO SIFÃO FLEXÍVEL EM PVC, VÁLVULA E ENGATE FLEXÍVEL 30CM EM PLÁSTICO E TORNEIRA CROMADA DE MESA, PADRÃO POPULAR - FORNECIMENTO E INSTALAÇÃO</t>
  </si>
  <si>
    <t>- SINAPI 86943</t>
  </si>
  <si>
    <t>BANCADA/BANCA/PIA DE AÇO INOXIDÁVEL (AISI 430) COM 1 CUBA CENTRAL, COM VÁLVULA, LISA (SEM ESCORREDOR), DE 0,55 X 1,20 M</t>
  </si>
  <si>
    <t>BANCADA/BANCA/PIA DE AÇO INOXIDÁVEL (AISI 430) COM 1 CUBA CENTRAL, COM VÁLVULA E SIFÃO, LISA (SEM ESCORREDOR), DE 0,55 X 1,20 M</t>
  </si>
  <si>
    <t>TORNEIRA CROMADA LONGA, DE PAREDE, 1/2 OU 3/4, PARA PIA DE COZINHA, PADRÃO POPULAR - FORNECIMENTO E INSTALAÇÃO</t>
  </si>
  <si>
    <t>SIFÃO DO TIPO GARRAFA/COPO EM PVC 1.1/4 X 1.1/2 - FORNECIMENTO E INSTALAÇÃO</t>
  </si>
  <si>
    <t>12.2</t>
  </si>
  <si>
    <t>REDE DE ÁGUA FRIA</t>
  </si>
  <si>
    <t>12.3</t>
  </si>
  <si>
    <t>REDE DE ESGOTO</t>
  </si>
  <si>
    <t>12.4</t>
  </si>
  <si>
    <t>REDE DE ÁGUAS PLUVIAIS</t>
  </si>
  <si>
    <t>12.5</t>
  </si>
  <si>
    <t>METAIS E ACESSÓRIOS</t>
  </si>
  <si>
    <t>BARRA DE APOIO RETA, EM AÇO INOX POLIDO, COMPRIMENTO 80 CM, FIXADA NA PAREDE - FORNECIMENTO E INSTALAÇÃO</t>
  </si>
  <si>
    <t>- 1 Box + 1 Vaso sanitário; 4 Banheiros PNE; SINAPI 100868</t>
  </si>
  <si>
    <t>BARRA DE APOIO LATERAL ARTICULADA, COM TRAVA, EM AÇO INOX POLIDO, FIXADA NA PAREDE - FORNECIMENTO E INSTALAÇÃO</t>
  </si>
  <si>
    <t>- Suporte vaso sanitário; 4 Banheiros PNE; SINAPI 100865</t>
  </si>
  <si>
    <t>BARRA DE APOIO EM "L", EM AÇO INOX POLIDO 80 X 80 CM, FIXADA NA PAREDE - FORNECIMENTO E INSTALAÇÃO</t>
  </si>
  <si>
    <t>- Suporte box; 4 Banheiros PNE; SINAPI 100864</t>
  </si>
  <si>
    <t>BARRA DE APOIO PARA LAVATÓRIO, FIXA, CONSTITUÍDA DE DUAS BARRAS LATERAIS EM "U", EM AÇO INOX, D= 1 1/4"</t>
  </si>
  <si>
    <t>CJ</t>
  </si>
  <si>
    <t>- 4 Conjuntos para lavatórios de banheiro PNE; ORSE 12128</t>
  </si>
  <si>
    <t>SABONETEIRA PLÁSTICA TIPO DISPENSER PARA SABONETE LÍQUIDO COM RESERVATÓRIO 800 A 1500 ML, INCLUSO FIXAÇÃO</t>
  </si>
  <si>
    <t>- 6 Banheiros; SINAPI 95547</t>
  </si>
  <si>
    <t>PAPELEIRA PLÁSTICA TIPO DISPENSER PARA PAPEL HIGIÊNICO ROLÃO</t>
  </si>
  <si>
    <t>CP-09</t>
  </si>
  <si>
    <t>PAPELEIRA PLÁSTICA TIPO DISPENSER PARA PAPEL HIGIÊNICO ROLÃO, INCLUSO FIXAÇÃO</t>
  </si>
  <si>
    <t>- Análoga SINAPI 95547</t>
  </si>
  <si>
    <t>ESPELHO CRISTAL E = 4 MM</t>
  </si>
  <si>
    <t>PARAFUSO FRANCÊS M16 EM AÇO GALVANIZADO, COMPRIMENTO = 45 MM, DIÂMETRO = 16 MM, CABEÇA ABAULADA</t>
  </si>
  <si>
    <t>VIDRACEIRO COM ENCARGOS COMPLEMENTARES</t>
  </si>
  <si>
    <t>- Análoga SINAPI 85005 (12/2020)</t>
  </si>
  <si>
    <t>ESPELHO CRISTAL, ESPESSURA 4 MM, COM PARAFUSOS DE FIXAÇÃO</t>
  </si>
  <si>
    <t>- 6 Banheiros; Espelhos de 60x90 cm;</t>
  </si>
  <si>
    <t>HIDRÔMETRO DN 25 (¾ ), 5,0 M³/H - FORNECIMENTO E INSTALAÇÃO</t>
  </si>
  <si>
    <t>- SINAPI 95675</t>
  </si>
  <si>
    <t>KIT CAVALETE PARA MEDIÇÃO DE ÁGUA - ENTRADA PRINCIPAL, EM PVC SOLDÁVEL DN 25 (¾") FORNECIMENTO E INSTALAÇÃO (EXCLUSIVE HIDRÔMETRO)</t>
  </si>
  <si>
    <t>- SINAPI 95635</t>
  </si>
  <si>
    <t>INSTALAÇÃO DE TUBOS DE PVC, SOLDÁVEL, ÁGUA FRIA, DN 25 MM (INSTALADO EM RAMAL, SUB-RAMAL, RAMAL DE DISTRIBUIÇÃO OU PRUMADA), INCLUSIVE CONEXÕES, CORTES E FIXAÇÕES, PARA PRÉDIOS</t>
  </si>
  <si>
    <t>- Quantitativo fornecido Samanta/Mariana; SINAPI 91785</t>
  </si>
  <si>
    <t>CAIXA D´ÁGUA EM POLIETILENO, 1000 LITROS (INCLUSOS TUBOS, CONEXÕES E TORNEIRA DE BÓIA) - FORNECIMENTO E INSTALAÇÃO</t>
  </si>
  <si>
    <t>- SINAPI 102623</t>
  </si>
  <si>
    <t xml:space="preserve"> INSTALAÇÃO DE TUBO DE PVC, SÉRIE NORMAL, ESGOTO PREDIAL, DN 50 MM (INSTALADO EM RAMAL DE DESCARGA OU RAMAL DE ESGOTO SANITÁRIO), INCLUSIVE CONEXÕES, CORTES E FIXAÇÕES PARA PRÉDIOS</t>
  </si>
  <si>
    <t>INSTALAÇÃO TUBO PVC, SÉRIE NORMAL, ESGOTO PREDIAL, 100 MM (INSTALADO EM RAMAL DE DESCARGA, RAMAL DE ESGOTO SANITÁRIO, PRUMADA DE ESGOTO SANITÁRIO, VENTILAÇÃO OU SUB-COLETOR AÉREO), INCLUSIVE CONEXÕES, CORTES E FIXAÇÕES PARA PRÉDIOS</t>
  </si>
  <si>
    <t>CAIXA DE GORDURA SIMPLES, CIRCULAR, EM CONCRETO PRÉ-MOLDADO, DIÂMETRO INTERNO = 0,4 M, ALTURA INTERNA = 0,4 M</t>
  </si>
  <si>
    <t>POÇO DE INSPEÇÃO CIRCULAR PARA ESGOTO, EM CONCRETO PRÉ-MOLDADO, DIÂMETRO INTERNO = 0,60 M, PROFUNDIDADE = 0,90 M, EXCLUINDO TAMPÃO</t>
  </si>
  <si>
    <t>- Quantitativo conforme projeto e memorial; SINAPI 97974</t>
  </si>
  <si>
    <t>TAMPA CIRCULAR PARA ESGOTO E DRENAGEM, EM CONCRETO PRÉ-MOLDADO, DIÂMETRO INTERNO = 0,60 M E ALTURA = 0,10 M</t>
  </si>
  <si>
    <t>- SINAPI 98115</t>
  </si>
  <si>
    <t>TUBO PVC, SÉRIE NORMAL, ESGOTO PREDIAL, DN 75 MM, FORNECIDO E INSTALADO EM RAMAL DE DESCARGA OU RAMAL DE ESGOTO SANITÁRIO</t>
  </si>
  <si>
    <t>- Quantitativo fornecido em projeto; SINAPI 89713</t>
  </si>
  <si>
    <t>- Quantitativo fornecido em projeto; SINAPI 91793</t>
  </si>
  <si>
    <t>- Quantitativo fornecido em projeto; SINAPI 91795</t>
  </si>
  <si>
    <t>- Quantitativo fornecido em projeto; SINAPI 98102</t>
  </si>
  <si>
    <t>RALO SIFONADO REDONDO, PVC, DN 100 X 40 MM, JUNTA SOLDÁVEL, FORNECIDO E INSTALADO EM RAMAL DE DESCARGA OU EM RAMAL DE ESGOTO SANITÁRIO</t>
  </si>
  <si>
    <t>- 6 Banheiros; SINAPI 104327</t>
  </si>
  <si>
    <t>CP-10</t>
  </si>
  <si>
    <t>RETROESCAVADEIRA SOBRE RODAS COM CARREGADEIRA, TRAÇÃO 4X4, POTÊNCIA LÍQ. 88 HP, CAÇAMBA CARREG. CAP. MÍN. 1 M3, CAÇAMBA RETRO CAP. 0,26 M3, PESO OPERACIONAL MÍN. 6.674 KG, PROFUNDIDADE ESCAVAÇÃO MÁX. 4,37 M - CHP DIURNO</t>
  </si>
  <si>
    <t>CHP</t>
  </si>
  <si>
    <t>RETROESCAVADEIRA SOBRE RODAS COM CARREGADEIRA, TRAÇÃO 4X4, POTÊNCIA LÍQ. 88 HP, CAÇAMBA CARREG. CAP. MÍN. 1 M3, CAÇAMBA RETRO CAP. 0,26 M3, PESO OPERACIONAL MÍN. 6.674 KG, PROFUNDIDADE ESCAVAÇÃO MÁX. 4,37 M - CHI DIURNO</t>
  </si>
  <si>
    <t>CHI</t>
  </si>
  <si>
    <t>ARGAMASSA TRAÇO 1:3 (EM VOLUME DE CIMENTO E AREIA MÉDIA ÚMIDA), PREPARO MECÂNICO COM BETONEIRA 400 L</t>
  </si>
  <si>
    <t>PEÇA CIRCULAR PRÉ-MOLDADA, VOLUME DE CONCRETO DE 10 A 30 LITROS, TAXA DE FIBRA DE POLIPROPILENO APROXIMADA DE 6 KG/M³</t>
  </si>
  <si>
    <t>PEÇA CIRCULAR PRÉ-MOLDADA, VOLUME DE CONCRETO ACIMA DE 100 LITROS, TAXA DE AÇO APROXIMADA DE 30KG/M³</t>
  </si>
  <si>
    <t>PREPARO DE FUNDO DE VALA COM LARGURA MAIOR OU IGUAL A 1,5 M E MENOR QUE 2,5 M, COM CAMADA DE BRITA, LANÇAMENTO MECANIZADO</t>
  </si>
  <si>
    <t>ANEL EM CONCRETO ARMADO, LISO, PARA FOSSAS SÉPTICAS E SUMIDOUROS, SEM FUNDO, DIÂMETRO INTERNO DE 2,00 M E ALTURA DE 0,50 M</t>
  </si>
  <si>
    <t>UN</t>
  </si>
  <si>
    <t>TANQUE SÉPTICO CIRCULAR, EM CONCRETO PRÉ-MOLDADO, DIÂMETRO INTERNO = 1,88 M, ALTURA INTERNA = 2,00 M, VOLUME ÚTIL: 4857,7 L</t>
  </si>
  <si>
    <t>PEDREIRO COM ENCARGOS COMPLEMENTARES</t>
  </si>
  <si>
    <t>- Análoga SINAPI 98054</t>
  </si>
  <si>
    <t>FILTRO ANAERÓBIO CIRCULAR, EM CONCRETO PRÉ-MOLDADO, DIÂMETRO INTERNO = 2,38 M, ALTURA INTERNA = 1,50 M, VOLUME ÚTIL: 5338,6 L (PARA 34 CONTRIBUINTES)</t>
  </si>
  <si>
    <t>- SINAPI 98060</t>
  </si>
  <si>
    <t>SUMIDOURO RETANGULAR, EM ALVENARIA COM BLOCOS DE CONCRETO, DIMENSÕES INTERNAS: 1,6 X 5,8 X H=3,0 M, ÁREA DE INFILTRAÇÃO: 50 M² (PARA 20 CONTRIBUINTES)</t>
  </si>
  <si>
    <t>- SINAPI 98101</t>
  </si>
  <si>
    <t>INSTALAÇÃO DE TUBOS DE PVC, SÉRIE R, ÁGUA PLUVIAL, DN 75 MM (INSTALADO EM RAMAL DE ENCAMINHAMENTO, OU CONDUTORES VERTICAIS), INCLUSIVE CONEXÕES, CORTE E FIXAÇÕES, PARA PRÉDIOS</t>
  </si>
  <si>
    <t>INSTALAÇÃO DE TUBOS DE PVC, SÉRIE R, ÁGUA PLUVIAL, DN 100 MM (INSTALADO EM RAMAL DE ENCAMINHAMENTO, OU CONDUTORES VERTICAIS), INCLUSIVE CONEXÕES, CORTES E FIXAÇÕES, PARA PRÉDIOS</t>
  </si>
  <si>
    <t>- Quantitativo fornecido Samanta/Mariana; SINAPI 91789</t>
  </si>
  <si>
    <t>- Quantitativo fornecido Samanta/Mariana; SINAPI 91790</t>
  </si>
  <si>
    <t>INSTALAÇÕES ELÉTRICAS</t>
  </si>
  <si>
    <t>13.1</t>
  </si>
  <si>
    <t>BARRAMENTOS E CABOS</t>
  </si>
  <si>
    <t>ENTRADA DE ENERGIA ELÉTRICA, AÉREA, TRIFÁSICA, COM CAIXA DE EMBUTIR, CABO DE 35 MM2 E DISJUNTOR DIN 50A (NÃO INCLUSO O POSTE DE CONCRETO)</t>
  </si>
  <si>
    <t>13.5</t>
  </si>
  <si>
    <t>PAINÉIS E EQUIPAMENTOS</t>
  </si>
  <si>
    <t>- SINAPI 101512</t>
  </si>
  <si>
    <t>POSTE DE CONCRETO ARMADO DE SEÇÃO CIRCULAR, EXTENSÃO DE 9,00 M, RESISTÊNCIA DE 200 A 300 DAN, TIPO C-14</t>
  </si>
  <si>
    <t>- SINAPI INSUMO 5044</t>
  </si>
  <si>
    <t>ASSENTAMENTO DE POSTE DE CONCRETO COM COMPRIMENTO NOMINAL DE 9 M, CARGA NOMINAL DE 300 DAN, ENGASTAMENTO BASE CONCRETADA COM 1 M DE CONCRETO E 0,5 M DE SOLO (NÃO INCLUI FORNECIMENTO)</t>
  </si>
  <si>
    <t>- SINAPI 100600</t>
  </si>
  <si>
    <t>CABO DE COBRE FLEXÍVEL ISOLADO, 1,5 MM², ANTI-CHAMA 450/750 V, PARA CIRCUITOS TERMINAIS - FORNECIMENTO E INSTALAÇÃO</t>
  </si>
  <si>
    <t>- SINAPI 91924</t>
  </si>
  <si>
    <t>CABO DE COBRE FLEXÍVEL ISOLADO, 2,5 MM², ANTI-CHAMA 450/750 V, PARA CIRCUITOS TERMINAIS - FORNECIMENTO E INSTALAÇÃO</t>
  </si>
  <si>
    <t>- SINAPI 91926</t>
  </si>
  <si>
    <t>CABO DE COBRE FLEXÍVEL ISOLADO, 4 MM², ANTI-CHAMA 450/750 V, PARA CIRCUITOS TERMINAIS - FORNECIMENTO E INSTALAÇÃO</t>
  </si>
  <si>
    <t>- SINAPI 91928</t>
  </si>
  <si>
    <t>CABO DE COBRE FLEXÍVEL ISOLADO, 6 MM², ANTI-CHAMA 450/750 V, PARA CIRCUITOS TERMINAIS - FORNECIMENTO E INSTALAÇÃO</t>
  </si>
  <si>
    <t>- SINAPI 91930</t>
  </si>
  <si>
    <t>CABO DE COBRE FLEXÍVEL ISOLADO, 16 MM², ANTI-CHAMA 450/750 V, PARA CIRCUITOS TERMINAIS - FORNECIMENTO E INSTALAÇÃO</t>
  </si>
  <si>
    <t>- SINAPI 91934</t>
  </si>
  <si>
    <t>13.2</t>
  </si>
  <si>
    <t>INFRAESTRUTURA E ACESSÓRIOS</t>
  </si>
  <si>
    <t>ELETRODUTO RÍGIDO ROSCÁVEL, PVC, DN 40 MM (1 1/4"), PARA CIRCUITOS TERMINAIS, INSTALADO EM PAREDE - FORNECIMENTO E INSTALAÇÃO</t>
  </si>
  <si>
    <t>- 2 Pavimentos; SINAPI 91873</t>
  </si>
  <si>
    <t>- 2 Pavimentos; SINAPI 91850</t>
  </si>
  <si>
    <t>13.3</t>
  </si>
  <si>
    <t>ELETRODUTO FLEXÍVEL CORRUGADO, DN 40 MM (1 1/4"), PARA CIRCUITOS TERMINAIS, INSTALADO EM LAJE - FORNECIMENTO E INSTALAÇÃO</t>
  </si>
  <si>
    <t>LUMINÁRIA TIPO CALHA, DE SOBREPOR, COM 2 LÂMPADAS TUBULARES FLUORESCENTES DE 36 W, COM REATOR DE PARTIDA RÁPIDA - FORNECIMENTO E INSTALAÇÃO</t>
  </si>
  <si>
    <t>LUMINÁRIA TIPO SPOT, DE SOBREPOR, COM 1 LÂMPADA FLUORESCENTE DE 15 W, SEM REATOR - FORNECIMENTO E INSTALAÇÃO</t>
  </si>
  <si>
    <t>LUMINÁRIA ARANDELA TIPO MEIA LUA, DE SOBREPOR, COM 1 LÂMPADA FLUORESCENTE DE 15 W, SEM REATOR - FORNECIMENTO E INSTALAÇÃO</t>
  </si>
  <si>
    <t>- Iluminação geral; SINAPI 97586</t>
  </si>
  <si>
    <t>- Banheiros; SINAPI 97593</t>
  </si>
  <si>
    <t>- Área externa; SINAPI 97606</t>
  </si>
  <si>
    <t>TOMADAS E INTERRUPTORES</t>
  </si>
  <si>
    <t>CAIXA OCTOGONAL 4" X 4", METÁLICA, INSTALADA EM LAJE - FORNECIMENTO E INSTALAÇÃO</t>
  </si>
  <si>
    <t>CAIXA RETANGULAR 4" X 2" ALTA (2,00 M DO PISO), METÁLICA, INSTALADA EM PAREDE - FORNECIMENTO E INSTALAÇÃO</t>
  </si>
  <si>
    <t>CAIXA RETANGULAR 4" X 2" MÉDIA (1,30 M DO PISO), METÁLICA, INSTALADA EM PAREDE - FORNECIMENTO E INSTALAÇÃO</t>
  </si>
  <si>
    <t>CAIXA RETANGULAR 4" X 2" BAIXA (0,30 M DO PISO), METÁLICA, INSTALADA EM PAREDE - FORNECIMENTO E INSTALAÇÃO</t>
  </si>
  <si>
    <t>- Quantitativo conforme projeto; SINAPI 92865</t>
  </si>
  <si>
    <t>- Quantitativo conforme projeto; SINAPI 92867</t>
  </si>
  <si>
    <t>- Quantitativo conforme projeto; SINAPI 92868</t>
  </si>
  <si>
    <t>- Quantitativo conforme projeto; SINAPI 92869</t>
  </si>
  <si>
    <t>TOMADA ALTA DE EMBUTIR (1 MÓDULO), 2P+T 20 A, INCLUINDO SUPORTE E PLACA - FORNECIMENTO E INSTALAÇÃO</t>
  </si>
  <si>
    <t>- Quantitativo conforme projeto; SINAPI 91993</t>
  </si>
  <si>
    <t>TOMADA BAIXA DE EMBUTIR (1 MÓDULO), 2P+T 10 A, INCLUINDO SUPORTE E PLACA - FORNECIMENTO E INSTALAÇÃO</t>
  </si>
  <si>
    <t>- Quantitativo conforme projeto; SINAPI 92000</t>
  </si>
  <si>
    <t>TOMADA BAIXA DE EMBUTIR (2 MÓDULOS), 2P+T 10 A, INCLUINDO SUPORTE E PLACA - FORNECIMENTO E INSTALAÇÃO</t>
  </si>
  <si>
    <t>- Quantitativo conforme projeto; SINAPI 92008</t>
  </si>
  <si>
    <t>INTERRUPTOR SIMPLES (1 MÓDULO), 10A/250V, INCLUINDO SUPORTE E PLACA - FORNECIMENTO E INSTALAÇÃO</t>
  </si>
  <si>
    <t>- Quantitativo conforme projeto; SINAPI 91953</t>
  </si>
  <si>
    <t>INTERRUPTOR SIMPLES (2 MÓDULOS), 10A/250V, INCLUINDO SUPORTE E PLACA - FORNECIMENTO E INSTALAÇÃO</t>
  </si>
  <si>
    <t>- Quantitativo conforme projeto; SINAPI 91959</t>
  </si>
  <si>
    <t>INTERRUPTOR SIMPLES (1 MÓDULO) COM 1 TOMADA DE EMBUTIR 2P+T 10 A, INCLUINDO SUPORTE E PLACA - FORNECIMENTO E INSTALAÇÃO</t>
  </si>
  <si>
    <t>- Quantitativo conforme projeto; SINAPI 92023</t>
  </si>
  <si>
    <t>QUADRO DE DISTRIBUIÇÃO DE ENERGIA EM CHAPA DE AÇO GALVANIZADO, DE EMBUTIR, COM BARRAMENTO TRIFÁSICO, PARA 24 DISJUNTORES DIN 100A - FORNECIMENTO E INSTALAÇÃO</t>
  </si>
  <si>
    <t>- SINAPI 101879</t>
  </si>
  <si>
    <t>DISJUNTOR MONOPOLAR TIPO DIN, CORRENTE NOMINAL DE 16A - FORNECIMENTO E INSTALAÇÃO</t>
  </si>
  <si>
    <t>- SINAPI 93654</t>
  </si>
  <si>
    <t>DISJUNTOR MONOPOLAR TIPO DIN, CORRENTE NOMINAL DE 20A - FORNECIMENTO E INSTALAÇÃO</t>
  </si>
  <si>
    <t>- SINAPI 93655</t>
  </si>
  <si>
    <t>DISJUNTOR MONOPOLAR TIPO DIN, CORRENTE NOMINAL DE 32A - FORNECIMENTO E INSTALAÇÃO</t>
  </si>
  <si>
    <t>- SINAPI 93657</t>
  </si>
  <si>
    <t>DISJUNTOR MONOPOLAR TIPO DIN, CORRENTE NOMINAL DE 40A - FORNECIMENTO E INSTALAÇÃO</t>
  </si>
  <si>
    <t>- SINAPI 93658</t>
  </si>
  <si>
    <t>DISJUNTOR MONOPOLAR TIPO DIN, CORRENTE NOMINAL DE 50A - FORNECIMENTO E INSTALAÇÃO</t>
  </si>
  <si>
    <t>- SINAPI 93659</t>
  </si>
  <si>
    <t>LIMPEZA DE PISO CERÂMICO OU PORCELANATO COM PANO ÚMIDO</t>
  </si>
  <si>
    <t>- SINAPI 99803</t>
  </si>
  <si>
    <t>12.1.2</t>
  </si>
  <si>
    <t>12.1.3</t>
  </si>
  <si>
    <t>12.1.4</t>
  </si>
  <si>
    <t>12.1.5</t>
  </si>
  <si>
    <t>12.2.1</t>
  </si>
  <si>
    <t>12.2.2</t>
  </si>
  <si>
    <t>12.2.3</t>
  </si>
  <si>
    <t>12.2.4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</si>
  <si>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</si>
  <si>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</si>
  <si>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</si>
  <si>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</si>
  <si>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</si>
  <si>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</si>
  <si>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</si>
  <si>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</si>
  <si>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</si>
  <si>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</si>
  <si>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12.4.1</t>
  </si>
  <si>
    <t>12.4.2</t>
  </si>
  <si>
    <t>12.5.1</t>
  </si>
  <si>
    <t>12.5.2</t>
  </si>
  <si>
    <t>12.5.3</t>
  </si>
  <si>
    <t>12.5.4</t>
  </si>
  <si>
    <t>12.5.5</t>
  </si>
  <si>
    <t>12.5.6</t>
  </si>
  <si>
    <t>12.5.7</t>
  </si>
  <si>
    <t>13.1.1</t>
  </si>
  <si>
    <t>13.2.2</t>
  </si>
  <si>
    <t>13.1.2</t>
  </si>
  <si>
    <t>13.1.3</t>
  </si>
  <si>
    <t>13.1.4</t>
  </si>
  <si>
    <t>13.1.5</t>
  </si>
  <si>
    <t>13.2.1</t>
  </si>
  <si>
    <t>13.2.3</t>
  </si>
  <si>
    <t>13.2.4</t>
  </si>
  <si>
    <t>13.2.5</t>
  </si>
  <si>
    <t>13.2.6</t>
  </si>
  <si>
    <t>13.3.1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</si>
  <si>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</si>
  <si>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</si>
  <si>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</si>
  <si>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</si>
  <si>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</si>
  <si>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</si>
  <si>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</si>
  <si>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</si>
  <si>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13.4.6</t>
  </si>
  <si>
    <t>13.5.1</t>
  </si>
  <si>
    <t>13.5.2</t>
  </si>
  <si>
    <t>13.5.3</t>
  </si>
  <si>
    <t>13.5.4</t>
  </si>
  <si>
    <t>13.5.6</t>
  </si>
  <si>
    <t>13.5.5</t>
  </si>
  <si>
    <t>13.5.7</t>
  </si>
  <si>
    <t>13.5.8</t>
  </si>
  <si>
    <t>13.5.9</t>
  </si>
  <si>
    <t>EQUIPAMENTOS</t>
  </si>
  <si>
    <t>14.1</t>
  </si>
  <si>
    <t>15.1</t>
  </si>
  <si>
    <t>SICRO3</t>
  </si>
  <si>
    <t>TUBO EM AÇO GALVANIZADO - E = 1,50 MM E SEÇÃO DE 20X20 MM</t>
  </si>
  <si>
    <t>M0164</t>
  </si>
  <si>
    <t>CHAPA DE ALUMÍNIO COMPOSTO (ACM) - E = 3,0 MM</t>
  </si>
  <si>
    <t>M3231</t>
  </si>
  <si>
    <t>FACHADA/COBERTURA DE ESTRUTURA METÁLICA, REVESTIDA POR PLACAS DE ACM, E = 0,3 MM</t>
  </si>
  <si>
    <t>REBITE DE ALUMÍNIO 440, 1/8"</t>
  </si>
  <si>
    <t>ORSE</t>
  </si>
  <si>
    <t>PARAFUSO, AUTO ATARRACHANTE, CABEÇA CHATA, FENDA SIMPLES, 1/4 (6,35 MM) X 25 MM</t>
  </si>
  <si>
    <t>CENTO</t>
  </si>
  <si>
    <t>SOLDA DE TOPO EM CHAPA/PERFIL/TUBO DE AÇO CHANFRADO, ESPESSURA=1/4''</t>
  </si>
  <si>
    <t>SELANTE TIPO VEDA CALHA PARA METAL E FIBROCIMENTO</t>
  </si>
  <si>
    <t>SERRALHEIRO COM ENCARGOS COMPLEMENTARES</t>
  </si>
  <si>
    <t xml:space="preserve">SINAPI </t>
  </si>
  <si>
    <t>MONTADOR DE ESTRUTURA METÁLICA COM ENCARGOS COMPLEMENTARES</t>
  </si>
  <si>
    <t>AJUDANTE DE ESTRUTURA METÁLICA COM ENCARGOS COMPLEMENTARES</t>
  </si>
  <si>
    <t>PLATAFORMA ELEVATÓRIA PARA PNE, CABINADA, MODELO UNILATERAL (UN140/1 ENTRADA)/OPOSTO (OP140/2 ENTRADA), DIMENSÃO DE CABINE 900X1400X2000 MM, AÇO CARBONO PINTADO, FECHAMENTO EM ALUMÍNIO COMPOSTO (ACM), 2 PARADAS</t>
  </si>
  <si>
    <t xml:space="preserve">- ORSE 13303 </t>
  </si>
  <si>
    <t>SUBTOTAL ITEM 8:</t>
  </si>
  <si>
    <t>SUBTOTAL ITEM 9:</t>
  </si>
  <si>
    <t>SUBTOTAL ITEM 10:</t>
  </si>
  <si>
    <t>11.2.1</t>
  </si>
  <si>
    <t>SUBTOTAL ITEM 11:</t>
  </si>
  <si>
    <t>SUBTOTAL ITEM 12:</t>
  </si>
  <si>
    <t>LUMINÁRIAS</t>
  </si>
  <si>
    <t>SUBTOTAL ITEM 13:</t>
  </si>
  <si>
    <t>SUBTOTAL ITEM 14:</t>
  </si>
  <si>
    <t>SUBTOTAL ITEM 15:</t>
  </si>
  <si>
    <t>120 DIAS</t>
  </si>
  <si>
    <t>150 DIAS</t>
  </si>
  <si>
    <t>180 DIAS</t>
  </si>
  <si>
    <t>210 DIAS</t>
  </si>
  <si>
    <t>240 DIAS</t>
  </si>
  <si>
    <t>- Data Base: SINAPI Não-Desonerado 07/23
                          ORSE-SE 06/23
                          SICRO3 04/23</t>
  </si>
  <si>
    <t>PRÓPRIA</t>
  </si>
  <si>
    <t>SINAPI - INSUMO</t>
  </si>
  <si>
    <t>- 6 Banheiros; SINAPI INSUMO 37400</t>
  </si>
  <si>
    <t>- Calçada de 8 cm; SINAPI 94991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</si>
</sst>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&quot;R$&quot;\ #,##0.00"/>
    <numFmt numFmtId="165" formatCode="0.0000"/>
    <numFmt numFmtId="166" formatCode="_-&quot;R$&quot;\ * #,##0.0000_-;\-&quot;R$&quot;\ * #,##0.0000_-;_-&quot;R$&quot;\ * &quot;-&quot;????_-;_-@_-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0" xfId="0" applyFont="1"/>
    <xf numFmtId="44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9" fillId="3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10" fontId="3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3" applyBorder="1" applyAlignment="1">
      <alignment horizontal="left" vertical="center" wrapText="1"/>
    </xf>
    <xf numFmtId="49" fontId="2" fillId="0" borderId="1" xfId="0" quotePrefix="1" applyNumberFormat="1" applyFont="1" applyBorder="1" applyAlignment="1">
      <alignment horizontal="left" vertical="center" wrapText="1"/>
    </xf>
    <xf numFmtId="49" fontId="11" fillId="0" borderId="1" xfId="0" quotePrefix="1" applyNumberFormat="1" applyFont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indent="10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324970</xdr:colOff>
      <xdr:row>4</xdr:row>
      <xdr:rowOff>258487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801B6F4-5744-4288-88D6-35E8F683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324970</xdr:colOff>
      <xdr:row>4</xdr:row>
      <xdr:rowOff>258487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F801B6F4-5744-4288-88D6-35E8F683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500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2</xdr:col>
      <xdr:colOff>212912</xdr:colOff>
      <xdr:row>4</xdr:row>
      <xdr:rowOff>258486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D3CF1CA-99F2-4A8F-B796-EC16093C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499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E36B64C-BFFF-4832-B811-9B87F3A68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694677" cy="784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CD0A25C-FE85-4855-938D-9783459C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1</xdr:col>
      <xdr:colOff>732778</xdr:colOff>
      <xdr:row>4</xdr:row>
      <xdr:rowOff>31414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9738105-C89C-4504-81B8-1B894803D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224117"/>
          <a:ext cx="699160" cy="804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3748370-6C25-458D-A7E9-C164063A1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8"/>
  <sheetViews>
    <sheetView showGridLines="0" tabSelected="1" view="pageBreakPreview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4" width="13.85546875" style="2" customWidth="1"/>
    <col min="5" max="5" width="71.42578125" style="2" customWidth="1"/>
    <col min="6" max="6" width="13.85546875" style="2" customWidth="1"/>
    <col min="7" max="7" width="9.140625" style="2"/>
    <col min="8" max="8" width="18.42578125" style="2" customWidth="1"/>
    <col min="9" max="10" width="18.28515625" style="2" customWidth="1"/>
    <col min="11" max="11" width="9.140625" style="2"/>
    <col min="12" max="14" width="18.28515625" style="2" customWidth="1"/>
    <col min="15" max="16384" width="9.140625" style="2"/>
  </cols>
  <sheetData>
    <row r="2" spans="2:14" ht="21" customHeight="1" x14ac:dyDescent="0.25">
      <c r="B2" s="65" t="s">
        <v>106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2:14" ht="21" customHeight="1" x14ac:dyDescent="0.25">
      <c r="B3" s="68" t="s">
        <v>105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2:14" ht="21" customHeight="1" x14ac:dyDescent="0.25">
      <c r="B4" s="68" t="s">
        <v>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2:14" ht="21" customHeight="1" x14ac:dyDescent="0.25">
      <c r="B5" s="71" t="s">
        <v>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2:14" ht="15.75" x14ac:dyDescent="0.25">
      <c r="B6" s="74" t="s">
        <v>34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2:14" ht="15" customHeight="1" x14ac:dyDescent="0.25">
      <c r="B7" s="75" t="s">
        <v>15</v>
      </c>
      <c r="C7" s="75" t="s">
        <v>39</v>
      </c>
      <c r="D7" s="75" t="s">
        <v>1</v>
      </c>
      <c r="E7" s="75" t="s">
        <v>35</v>
      </c>
      <c r="F7" s="75" t="s">
        <v>36</v>
      </c>
      <c r="G7" s="75" t="s">
        <v>6</v>
      </c>
      <c r="H7" s="75" t="s">
        <v>40</v>
      </c>
      <c r="I7" s="75"/>
      <c r="J7" s="75"/>
      <c r="K7" s="75" t="s">
        <v>38</v>
      </c>
      <c r="L7" s="75" t="s">
        <v>41</v>
      </c>
      <c r="M7" s="75"/>
      <c r="N7" s="75"/>
    </row>
    <row r="8" spans="2:14" x14ac:dyDescent="0.25">
      <c r="B8" s="75"/>
      <c r="C8" s="75"/>
      <c r="D8" s="75"/>
      <c r="E8" s="75"/>
      <c r="F8" s="75"/>
      <c r="G8" s="75"/>
      <c r="H8" s="16" t="s">
        <v>22</v>
      </c>
      <c r="I8" s="16" t="s">
        <v>27</v>
      </c>
      <c r="J8" s="16" t="s">
        <v>37</v>
      </c>
      <c r="K8" s="75"/>
      <c r="L8" s="16" t="s">
        <v>22</v>
      </c>
      <c r="M8" s="16" t="s">
        <v>27</v>
      </c>
      <c r="N8" s="16" t="s">
        <v>37</v>
      </c>
    </row>
    <row r="9" spans="2:14" x14ac:dyDescent="0.25">
      <c r="B9" s="28">
        <v>1</v>
      </c>
      <c r="C9" s="62" t="s">
        <v>48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ht="25.5" x14ac:dyDescent="0.25">
      <c r="B10" s="7" t="s">
        <v>43</v>
      </c>
      <c r="C10" s="7" t="s">
        <v>123</v>
      </c>
      <c r="D10" s="7">
        <v>90777</v>
      </c>
      <c r="E10" s="18" t="str">
        <f>IFERROR(VLOOKUP($B10,Quantitativos!$B$9:F5138,2,0),"-")</f>
        <v>ENGENHEIRO CIVIL PARA ACOMPANHAMENTO DE OBRA E PROJETO ESTRUTURAL - PROJETO E EXECUÇÃO</v>
      </c>
      <c r="F10" s="29">
        <f>IFERROR(VLOOKUP($B10,Quantitativos!$B$9:F5138,3,0),"-")</f>
        <v>145</v>
      </c>
      <c r="G10" s="7" t="str">
        <f>IFERROR(VLOOKUP($B10,Quantitativos!$B$9:F5138,4,0),"-")</f>
        <v>H</v>
      </c>
      <c r="H10" s="21">
        <v>1.93</v>
      </c>
      <c r="I10" s="21">
        <v>110.19</v>
      </c>
      <c r="J10" s="21">
        <f>IFERROR(H10+I10,0)</f>
        <v>112.12</v>
      </c>
      <c r="K10" s="30">
        <f>$C$197</f>
        <v>0.23810000000000001</v>
      </c>
      <c r="L10" s="21">
        <f>IFERROR(TRUNC((1+$K10)*$F10*H10,2),0)</f>
        <v>346.48</v>
      </c>
      <c r="M10" s="21">
        <f>IFERROR(TRUNC((1+$K10)*$F10*I10,2),0)</f>
        <v>19781.8</v>
      </c>
      <c r="N10" s="21">
        <f>IFERROR(L10+M10,0)</f>
        <v>20128.28</v>
      </c>
    </row>
    <row r="11" spans="2:14" ht="38.25" x14ac:dyDescent="0.25">
      <c r="B11" s="7" t="s">
        <v>44</v>
      </c>
      <c r="C11" s="7" t="s">
        <v>626</v>
      </c>
      <c r="D11" s="7" t="str">
        <f>IFERROR(IF($C11="PRÓPRIA",VLOOKUP($E11,CPU!$C$9:Q5035,15,0),0),"-")</f>
        <v>CP-01</v>
      </c>
      <c r="E11" s="18" t="str">
        <f>IFERROR(VLOOKUP($B11,Quantitativos!$B$9:F5137,2,0),"-")</f>
        <v>LOCAÇÃO DE CONTAINER 2,30 X 6,00 M, ALT 2,50 M, COM 1 SANITÁRIO, PARA ESCRITÓRIO, COMPLETO, SEM DIVISÓRIAS INTERNAS (INCLUSO MOBILIZAÇÃO/DESMOBILIZAÇÃO)</v>
      </c>
      <c r="F11" s="29">
        <f>IFERROR(VLOOKUP($B11,Quantitativos!$B$9:F5137,3,0),"-")</f>
        <v>8</v>
      </c>
      <c r="G11" s="7" t="str">
        <f>IFERROR(VLOOKUP($B11,Quantitativos!$B$9:F5137,4,0),"-")</f>
        <v>MÊS</v>
      </c>
      <c r="H11" s="21">
        <f>IFERROR(IF($C11="PRÓPRIA",VLOOKUP($E11,CPU!$C$9:Q5045,7,0),0),0)</f>
        <v>948.1</v>
      </c>
      <c r="I11" s="21">
        <f>IFERROR(IF($C11="PRÓPRIA",VLOOKUP($E11,CPU!$C$9:Q5045,13,0),0),0)</f>
        <v>0</v>
      </c>
      <c r="J11" s="21">
        <f t="shared" ref="J11" si="0">IFERROR(H11+I11,0)</f>
        <v>948.1</v>
      </c>
      <c r="K11" s="30">
        <f>$C$197</f>
        <v>0.23810000000000001</v>
      </c>
      <c r="L11" s="21">
        <f t="shared" ref="L11" si="1">IFERROR(TRUNC((1+$K11)*$F11*H11,2),0)</f>
        <v>9390.74</v>
      </c>
      <c r="M11" s="21">
        <f t="shared" ref="M11" si="2">IFERROR(TRUNC((1+$K11)*$F11*I11,2),0)</f>
        <v>0</v>
      </c>
      <c r="N11" s="21">
        <f t="shared" ref="N11" si="3">IFERROR(L11+M11,0)</f>
        <v>9390.74</v>
      </c>
    </row>
    <row r="12" spans="2:14" x14ac:dyDescent="0.25">
      <c r="B12" s="64" t="s">
        <v>46</v>
      </c>
      <c r="C12" s="64"/>
      <c r="D12" s="64"/>
      <c r="E12" s="64"/>
      <c r="F12" s="64"/>
      <c r="G12" s="64"/>
      <c r="H12" s="64"/>
      <c r="I12" s="64"/>
      <c r="J12" s="64"/>
      <c r="K12" s="64"/>
      <c r="L12" s="31">
        <f>SUM(L10:L11)</f>
        <v>9737.2199999999993</v>
      </c>
      <c r="M12" s="31">
        <f>SUM(M10:M11)</f>
        <v>19781.8</v>
      </c>
      <c r="N12" s="31">
        <f>SUM(N10:N11)</f>
        <v>29519.019999999997</v>
      </c>
    </row>
    <row r="13" spans="2:14" x14ac:dyDescent="0.25">
      <c r="B13" s="28">
        <v>2</v>
      </c>
      <c r="C13" s="62" t="s">
        <v>42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2:14" ht="25.5" x14ac:dyDescent="0.25">
      <c r="B14" s="7" t="s">
        <v>50</v>
      </c>
      <c r="C14" s="7" t="s">
        <v>123</v>
      </c>
      <c r="D14" s="7">
        <v>103689</v>
      </c>
      <c r="E14" s="18" t="str">
        <f>IFERROR(VLOOKUP($B14,Quantitativos!$B$9:F5142,2,0),"-")</f>
        <v>FORNECIMENTO E INSTALAÇÃO DE PLACA DE OBRA COM CHAPA GALVANIZADA E ESTRUTURA DE MADEIRA</v>
      </c>
      <c r="F14" s="29">
        <f>IFERROR(VLOOKUP($B14,Quantitativos!$B$9:F5142,3,0),"-")</f>
        <v>2.88</v>
      </c>
      <c r="G14" s="7" t="str">
        <f>IFERROR(VLOOKUP($B14,Quantitativos!$B$9:F5142,4,0),"-")</f>
        <v>M2</v>
      </c>
      <c r="H14" s="21">
        <v>277.62</v>
      </c>
      <c r="I14" s="21">
        <v>29.88</v>
      </c>
      <c r="J14" s="21">
        <f>IFERROR(H14+I14,0)</f>
        <v>307.5</v>
      </c>
      <c r="K14" s="30">
        <f t="shared" ref="K14:K19" si="4">$C$197</f>
        <v>0.23810000000000001</v>
      </c>
      <c r="L14" s="21">
        <f>IFERROR(TRUNC((1+$K14)*$F14*H14,2),0)</f>
        <v>989.91</v>
      </c>
      <c r="M14" s="21">
        <f>IFERROR(TRUNC((1+$K14)*$F14*I14,2),0)</f>
        <v>106.54</v>
      </c>
      <c r="N14" s="21">
        <f>IFERROR(L14+M14,0)</f>
        <v>1096.45</v>
      </c>
    </row>
    <row r="15" spans="2:14" ht="25.5" x14ac:dyDescent="0.25">
      <c r="B15" s="7" t="s">
        <v>115</v>
      </c>
      <c r="C15" s="7" t="s">
        <v>123</v>
      </c>
      <c r="D15" s="7">
        <v>98525</v>
      </c>
      <c r="E15" s="18" t="str">
        <f>IFERROR(VLOOKUP($B15,Quantitativos!$B$9:F5143,2,0),"-")</f>
        <v>LIMPEZA MECANIZADA DE CAMADA VEGETAL, VEGETAÇÃO E PEQUENAS ÁRVORES (DIÂMETRO DE TRONCO MENOR QUE 0,20 M), COM TRATOR DE ESTEIRAS</v>
      </c>
      <c r="F15" s="29">
        <f>IFERROR(VLOOKUP($B15,Quantitativos!$B$9:F5143,3,0),"-")</f>
        <v>458.9</v>
      </c>
      <c r="G15" s="7" t="str">
        <f>IFERROR(VLOOKUP($B15,Quantitativos!$B$9:F5143,4,0),"-")</f>
        <v>M2</v>
      </c>
      <c r="H15" s="21">
        <f>0.17+0.03</f>
        <v>0.2</v>
      </c>
      <c r="I15" s="21">
        <v>0.21</v>
      </c>
      <c r="J15" s="21">
        <f t="shared" ref="J15:J18" si="5">IFERROR(H15+I15,0)</f>
        <v>0.41000000000000003</v>
      </c>
      <c r="K15" s="30">
        <f t="shared" si="4"/>
        <v>0.23810000000000001</v>
      </c>
      <c r="L15" s="21">
        <f t="shared" ref="L15:L18" si="6">IFERROR(TRUNC((1+$K15)*$F15*H15,2),0)</f>
        <v>113.63</v>
      </c>
      <c r="M15" s="21">
        <f t="shared" ref="M15:M18" si="7">IFERROR(TRUNC((1+$K15)*$F15*I15,2),0)</f>
        <v>119.31</v>
      </c>
      <c r="N15" s="21">
        <f t="shared" ref="N15:N18" si="8">IFERROR(L15+M15,0)</f>
        <v>232.94</v>
      </c>
    </row>
    <row r="16" spans="2:14" x14ac:dyDescent="0.25">
      <c r="B16" s="7" t="s">
        <v>116</v>
      </c>
      <c r="C16" s="7" t="s">
        <v>123</v>
      </c>
      <c r="D16" s="7">
        <v>98459</v>
      </c>
      <c r="E16" s="18" t="str">
        <f>IFERROR(VLOOKUP($B16,Quantitativos!$B$9:F5144,2,0),"-")</f>
        <v>TAPUME COM TELHA METÁLICA</v>
      </c>
      <c r="F16" s="29">
        <f>IFERROR(VLOOKUP($B16,Quantitativos!$B$9:F5144,3,0),"-")</f>
        <v>48</v>
      </c>
      <c r="G16" s="7" t="str">
        <f>IFERROR(VLOOKUP($B16,Quantitativos!$B$9:F5144,4,0),"-")</f>
        <v>M2</v>
      </c>
      <c r="H16" s="21">
        <v>69.88</v>
      </c>
      <c r="I16" s="21">
        <v>15.38</v>
      </c>
      <c r="J16" s="21">
        <f t="shared" si="5"/>
        <v>85.259999999999991</v>
      </c>
      <c r="K16" s="30">
        <f t="shared" si="4"/>
        <v>0.23810000000000001</v>
      </c>
      <c r="L16" s="21">
        <f t="shared" si="6"/>
        <v>4152.88</v>
      </c>
      <c r="M16" s="21">
        <f t="shared" si="7"/>
        <v>914.01</v>
      </c>
      <c r="N16" s="21">
        <f t="shared" si="8"/>
        <v>5066.8900000000003</v>
      </c>
    </row>
    <row r="17" spans="2:14" ht="25.5" x14ac:dyDescent="0.25">
      <c r="B17" s="7" t="s">
        <v>117</v>
      </c>
      <c r="C17" s="7" t="s">
        <v>626</v>
      </c>
      <c r="D17" s="7" t="str">
        <f>IFERROR(IF($C17="PRÓPRIA",VLOOKUP($E17,CPU!$C$9:Q5041,15,0),0),"-")</f>
        <v>CP-02</v>
      </c>
      <c r="E17" s="18" t="str">
        <f>IFERROR(VLOOKUP($B17,Quantitativos!$B$9:F5145,2,0),"-")</f>
        <v>INSTALAÇÃO/LIGAÇÃO PROVISÓRIA DE ENERGIA ELÉTRICA DE BAIXA TENSÃO PARA CANTEIRO DE OBRAS EM POSTE DE MADEIRA COM ATERRAMENTO</v>
      </c>
      <c r="F17" s="29">
        <f>IFERROR(VLOOKUP($B17,Quantitativos!$B$9:F5145,3,0),"-")</f>
        <v>1</v>
      </c>
      <c r="G17" s="7" t="str">
        <f>IFERROR(VLOOKUP($B17,Quantitativos!$B$9:F5145,4,0),"-")</f>
        <v>UND</v>
      </c>
      <c r="H17" s="21">
        <f>IFERROR(IF($C17="PRÓPRIA",VLOOKUP($E17,CPU!$C$9:Q5051,7,0),0),0)</f>
        <v>1611.41</v>
      </c>
      <c r="I17" s="21">
        <f>IFERROR(IF($C17="PRÓPRIA",VLOOKUP($E17,CPU!$C$9:Q5051,13,0),0),0)</f>
        <v>390.16</v>
      </c>
      <c r="J17" s="21">
        <f t="shared" si="5"/>
        <v>2001.5700000000002</v>
      </c>
      <c r="K17" s="30">
        <f t="shared" si="4"/>
        <v>0.23810000000000001</v>
      </c>
      <c r="L17" s="21">
        <f t="shared" si="6"/>
        <v>1995.08</v>
      </c>
      <c r="M17" s="21">
        <f t="shared" si="7"/>
        <v>483.05</v>
      </c>
      <c r="N17" s="21">
        <f t="shared" si="8"/>
        <v>2478.13</v>
      </c>
    </row>
    <row r="18" spans="2:14" x14ac:dyDescent="0.25">
      <c r="B18" s="7" t="s">
        <v>118</v>
      </c>
      <c r="C18" s="7" t="s">
        <v>626</v>
      </c>
      <c r="D18" s="7" t="str">
        <f>IFERROR(IF($C18="PRÓPRIA",VLOOKUP($E18,CPU!$C$9:Q5042,15,0),0),"-")</f>
        <v>CP-03</v>
      </c>
      <c r="E18" s="18" t="str">
        <f>IFERROR(VLOOKUP($B18,Quantitativos!$B$9:F5146,2,0),"-")</f>
        <v>LIGAÇÃO PROVISÓRIA DE ÁGUA</v>
      </c>
      <c r="F18" s="29">
        <f>IFERROR(VLOOKUP($B18,Quantitativos!$B$9:F5146,3,0),"-")</f>
        <v>1</v>
      </c>
      <c r="G18" s="7" t="str">
        <f>IFERROR(VLOOKUP($B18,Quantitativos!$B$9:F5146,4,0),"-")</f>
        <v>UND</v>
      </c>
      <c r="H18" s="21">
        <f>IFERROR(IF($C18="PRÓPRIA",VLOOKUP($E18,CPU!$C$9:Q5052,7,0),0),0)</f>
        <v>520.46</v>
      </c>
      <c r="I18" s="21">
        <f>IFERROR(IF($C18="PRÓPRIA",VLOOKUP($E18,CPU!$C$9:Q5052,13,0),0),0)</f>
        <v>93.82</v>
      </c>
      <c r="J18" s="21">
        <f t="shared" si="5"/>
        <v>614.28</v>
      </c>
      <c r="K18" s="30">
        <f t="shared" si="4"/>
        <v>0.23810000000000001</v>
      </c>
      <c r="L18" s="21">
        <f t="shared" si="6"/>
        <v>644.38</v>
      </c>
      <c r="M18" s="21">
        <f t="shared" si="7"/>
        <v>116.15</v>
      </c>
      <c r="N18" s="21">
        <f t="shared" si="8"/>
        <v>760.53</v>
      </c>
    </row>
    <row r="19" spans="2:14" ht="25.5" x14ac:dyDescent="0.25">
      <c r="B19" s="7" t="s">
        <v>119</v>
      </c>
      <c r="C19" s="7" t="s">
        <v>123</v>
      </c>
      <c r="D19" s="7">
        <v>99059</v>
      </c>
      <c r="E19" s="18" t="str">
        <f>IFERROR(VLOOKUP($B19,Quantitativos!$B$9:F5141,2,0),"-")</f>
        <v>LOCAÇÃO CONVENCIONAL DE OBRA, UTILIZANDO GABARITO DE TÁBUAS CORRIDAS PONTALETADAS A CADA 2,00M - 2 UTILIZAÇÕES</v>
      </c>
      <c r="F19" s="29">
        <f>IFERROR(VLOOKUP($B19,Quantitativos!$B$9:F5141,3,0),"-")</f>
        <v>64.5</v>
      </c>
      <c r="G19" s="7" t="str">
        <f>IFERROR(VLOOKUP($B19,Quantitativos!$B$9:F5141,4,0),"-")</f>
        <v>M</v>
      </c>
      <c r="H19" s="21">
        <v>24.75</v>
      </c>
      <c r="I19" s="21">
        <v>24.24</v>
      </c>
      <c r="J19" s="21">
        <f t="shared" ref="J19" si="9">IFERROR(H19+I19,0)</f>
        <v>48.989999999999995</v>
      </c>
      <c r="K19" s="30">
        <f t="shared" si="4"/>
        <v>0.23810000000000001</v>
      </c>
      <c r="L19" s="21">
        <f t="shared" ref="L19" si="10">IFERROR(TRUNC((1+$K19)*$F19*H19,2),0)</f>
        <v>1976.47</v>
      </c>
      <c r="M19" s="21">
        <f t="shared" ref="M19" si="11">IFERROR(TRUNC((1+$K19)*$F19*I19,2),0)</f>
        <v>1935.74</v>
      </c>
      <c r="N19" s="21">
        <f t="shared" ref="N19" si="12">IFERROR(L19+M19,0)</f>
        <v>3912.21</v>
      </c>
    </row>
    <row r="20" spans="2:14" x14ac:dyDescent="0.25">
      <c r="B20" s="64" t="s">
        <v>49</v>
      </c>
      <c r="C20" s="64"/>
      <c r="D20" s="64"/>
      <c r="E20" s="64"/>
      <c r="F20" s="64"/>
      <c r="G20" s="64"/>
      <c r="H20" s="64"/>
      <c r="I20" s="64"/>
      <c r="J20" s="64"/>
      <c r="K20" s="64"/>
      <c r="L20" s="31">
        <f>SUM(L14:L19)</f>
        <v>9872.35</v>
      </c>
      <c r="M20" s="31">
        <f>SUM(M14:M19)</f>
        <v>3674.8</v>
      </c>
      <c r="N20" s="31">
        <f>SUM(N14:N19)</f>
        <v>13547.150000000001</v>
      </c>
    </row>
    <row r="21" spans="2:14" x14ac:dyDescent="0.25">
      <c r="B21" s="28">
        <v>3</v>
      </c>
      <c r="C21" s="62" t="s">
        <v>161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2:14" ht="25.5" x14ac:dyDescent="0.25">
      <c r="B22" s="7" t="s">
        <v>52</v>
      </c>
      <c r="C22" s="7" t="s">
        <v>123</v>
      </c>
      <c r="D22" s="7">
        <v>100896</v>
      </c>
      <c r="E22" s="18" t="str">
        <f>IFERROR(VLOOKUP($B22,Quantitativos!$B$9:F5131,2,0),"-")</f>
        <v>ESTACA ESCAVADA MECANICAMENTE, SEM FLUIDO ESTABILIZANTE, COM 25CM DE DIÂMETRO, CONCRETO LANÇADO POR CAMINHÃO BETONEIRA</v>
      </c>
      <c r="F22" s="29">
        <f>IFERROR(VLOOKUP($B22,Quantitativos!$B$9:F5131,3,0),"-")</f>
        <v>120</v>
      </c>
      <c r="G22" s="7" t="str">
        <f>IFERROR(VLOOKUP($B22,Quantitativos!$B$9:F5131,4,0),"-")</f>
        <v>M</v>
      </c>
      <c r="H22" s="21">
        <f>15.24+40.49</f>
        <v>55.730000000000004</v>
      </c>
      <c r="I22" s="21">
        <v>6.67</v>
      </c>
      <c r="J22" s="21">
        <f t="shared" ref="J22:J34" si="13">IFERROR(H22+I22,0)</f>
        <v>62.400000000000006</v>
      </c>
      <c r="K22" s="30">
        <f t="shared" ref="K22:K34" si="14">$C$197</f>
        <v>0.23810000000000001</v>
      </c>
      <c r="L22" s="21">
        <f t="shared" ref="L22:L34" si="15">IFERROR(TRUNC((1+$K22)*$F22*H22,2),0)</f>
        <v>8279.91</v>
      </c>
      <c r="M22" s="21">
        <f t="shared" ref="M22:M34" si="16">IFERROR(TRUNC((1+$K22)*$F22*I22,2),0)</f>
        <v>990.97</v>
      </c>
      <c r="N22" s="21">
        <f t="shared" ref="N22:N34" si="17">IFERROR(L22+M22,0)</f>
        <v>9270.8799999999992</v>
      </c>
    </row>
    <row r="23" spans="2:14" ht="25.5" x14ac:dyDescent="0.25">
      <c r="B23" s="7" t="s">
        <v>53</v>
      </c>
      <c r="C23" s="7" t="s">
        <v>123</v>
      </c>
      <c r="D23" s="7">
        <v>96522</v>
      </c>
      <c r="E23" s="18" t="str">
        <f>IFERROR(VLOOKUP($B23,Quantitativos!$B$9:F5132,2,0),"-")</f>
        <v>ESCAVAÇÃO MANUAL PARA BLOCO DE COROAMENTO OU SAPATA (SEM ESCAVAÇÃO PARA COLOCAÇÃO DE FORMAS)</v>
      </c>
      <c r="F23" s="29">
        <f>IFERROR(VLOOKUP($B23,Quantitativos!$B$9:F5132,3,0),"-")</f>
        <v>8.64</v>
      </c>
      <c r="G23" s="7" t="str">
        <f>IFERROR(VLOOKUP($B23,Quantitativos!$B$9:F5132,4,0),"-")</f>
        <v>M3</v>
      </c>
      <c r="H23" s="21">
        <v>35.18</v>
      </c>
      <c r="I23" s="21">
        <v>114.08</v>
      </c>
      <c r="J23" s="21">
        <f t="shared" ref="J23:J33" si="18">IFERROR(H23+I23,0)</f>
        <v>149.26</v>
      </c>
      <c r="K23" s="30">
        <f t="shared" si="14"/>
        <v>0.23810000000000001</v>
      </c>
      <c r="L23" s="21">
        <f t="shared" ref="L23:L33" si="19">IFERROR(TRUNC((1+$K23)*$F23*H23,2),0)</f>
        <v>376.32</v>
      </c>
      <c r="M23" s="21">
        <f t="shared" ref="M23:M33" si="20">IFERROR(TRUNC((1+$K23)*$F23*I23,2),0)</f>
        <v>1220.33</v>
      </c>
      <c r="N23" s="21">
        <f t="shared" ref="N23:N33" si="21">IFERROR(L23+M23,0)</f>
        <v>1596.6499999999999</v>
      </c>
    </row>
    <row r="24" spans="2:14" ht="25.5" x14ac:dyDescent="0.25">
      <c r="B24" s="7" t="s">
        <v>54</v>
      </c>
      <c r="C24" s="7" t="s">
        <v>123</v>
      </c>
      <c r="D24" s="7">
        <v>96527</v>
      </c>
      <c r="E24" s="18" t="str">
        <f>IFERROR(VLOOKUP($B24,Quantitativos!$B$9:F5133,2,0),"-")</f>
        <v>ESCAVAÇÃO MANUAL DE VALA PARA VIGA BALDRAME (INCLUINDO ESCAVAÇÃO PARA COLOCAÇÃO DE FORMAS)</v>
      </c>
      <c r="F24" s="29">
        <f>IFERROR(VLOOKUP($B24,Quantitativos!$B$9:F5133,3,0),"-")</f>
        <v>21.439999999999998</v>
      </c>
      <c r="G24" s="7" t="str">
        <f>IFERROR(VLOOKUP($B24,Quantitativos!$B$9:F5133,4,0),"-")</f>
        <v>M3</v>
      </c>
      <c r="H24" s="21">
        <v>30.15</v>
      </c>
      <c r="I24" s="21">
        <v>95.63</v>
      </c>
      <c r="J24" s="21">
        <f t="shared" si="18"/>
        <v>125.78</v>
      </c>
      <c r="K24" s="30">
        <f t="shared" si="14"/>
        <v>0.23810000000000001</v>
      </c>
      <c r="L24" s="21">
        <f t="shared" si="19"/>
        <v>800.32</v>
      </c>
      <c r="M24" s="21">
        <f t="shared" si="20"/>
        <v>2538.48</v>
      </c>
      <c r="N24" s="21">
        <f t="shared" si="21"/>
        <v>3338.8</v>
      </c>
    </row>
    <row r="25" spans="2:14" x14ac:dyDescent="0.25">
      <c r="B25" s="7" t="s">
        <v>82</v>
      </c>
      <c r="C25" s="7" t="s">
        <v>123</v>
      </c>
      <c r="D25" s="7">
        <v>96995</v>
      </c>
      <c r="E25" s="18" t="str">
        <f>IFERROR(VLOOKUP($B25,Quantitativos!$B$9:F5134,2,0),"-")</f>
        <v>REATERRO MANUAL APILOADO COM SOQUETE</v>
      </c>
      <c r="F25" s="29">
        <f>IFERROR(VLOOKUP($B25,Quantitativos!$B$9:F5134,3,0),"-")</f>
        <v>46</v>
      </c>
      <c r="G25" s="7" t="str">
        <f>IFERROR(VLOOKUP($B25,Quantitativos!$B$9:F5134,4,0),"-")</f>
        <v>M2</v>
      </c>
      <c r="H25" s="21">
        <v>12.81</v>
      </c>
      <c r="I25" s="21">
        <v>38.28</v>
      </c>
      <c r="J25" s="21">
        <f t="shared" si="18"/>
        <v>51.09</v>
      </c>
      <c r="K25" s="30">
        <f t="shared" si="14"/>
        <v>0.23810000000000001</v>
      </c>
      <c r="L25" s="21">
        <f t="shared" si="19"/>
        <v>729.56</v>
      </c>
      <c r="M25" s="21">
        <f t="shared" si="20"/>
        <v>2180.14</v>
      </c>
      <c r="N25" s="21">
        <f t="shared" si="21"/>
        <v>2909.7</v>
      </c>
    </row>
    <row r="26" spans="2:14" ht="25.5" x14ac:dyDescent="0.25">
      <c r="B26" s="7" t="s">
        <v>83</v>
      </c>
      <c r="C26" s="7" t="s">
        <v>123</v>
      </c>
      <c r="D26" s="7">
        <v>96621</v>
      </c>
      <c r="E26" s="18" t="str">
        <f>IFERROR(VLOOKUP($B26,Quantitativos!$B$9:F5135,2,0),"-")</f>
        <v>LASTRO COM MATERIAL GRANULAR, APLICAÇÃO EM BLOCOS DE COROAMENTO, ESPESSURA DE 5 CM</v>
      </c>
      <c r="F26" s="29">
        <f>IFERROR(VLOOKUP($B26,Quantitativos!$B$9:F5135,3,0),"-")</f>
        <v>0.72</v>
      </c>
      <c r="G26" s="7" t="str">
        <f>IFERROR(VLOOKUP($B26,Quantitativos!$B$9:F5135,4,0),"-")</f>
        <v>M3</v>
      </c>
      <c r="H26" s="21">
        <f>0.13+105.44</f>
        <v>105.57</v>
      </c>
      <c r="I26" s="21">
        <v>86.85</v>
      </c>
      <c r="J26" s="21">
        <f t="shared" si="18"/>
        <v>192.42</v>
      </c>
      <c r="K26" s="30">
        <f t="shared" si="14"/>
        <v>0.23810000000000001</v>
      </c>
      <c r="L26" s="21">
        <f t="shared" si="19"/>
        <v>94.1</v>
      </c>
      <c r="M26" s="21">
        <f t="shared" si="20"/>
        <v>77.42</v>
      </c>
      <c r="N26" s="21">
        <f t="shared" si="21"/>
        <v>171.51999999999998</v>
      </c>
    </row>
    <row r="27" spans="2:14" ht="25.5" x14ac:dyDescent="0.25">
      <c r="B27" s="7" t="s">
        <v>84</v>
      </c>
      <c r="C27" s="7" t="s">
        <v>123</v>
      </c>
      <c r="D27" s="7">
        <v>96622</v>
      </c>
      <c r="E27" s="18" t="str">
        <f>IFERROR(VLOOKUP($B27,Quantitativos!$B$9:F5136,2,0),"-")</f>
        <v>LASTRO COM MATERIAL GRANULAR, APLICADO EM VIGAS SOBRE SOLO, ESPESSURA DE 5 CM</v>
      </c>
      <c r="F27" s="29">
        <f>IFERROR(VLOOKUP($B27,Quantitativos!$B$9:F5136,3,0),"-")</f>
        <v>1.34</v>
      </c>
      <c r="G27" s="7" t="str">
        <f>IFERROR(VLOOKUP($B27,Quantitativos!$B$9:F5136,4,0),"-")</f>
        <v>M3</v>
      </c>
      <c r="H27" s="21">
        <f>0.05+89.27</f>
        <v>89.32</v>
      </c>
      <c r="I27" s="21">
        <v>30.98</v>
      </c>
      <c r="J27" s="21">
        <f t="shared" si="18"/>
        <v>120.3</v>
      </c>
      <c r="K27" s="30">
        <f t="shared" si="14"/>
        <v>0.23810000000000001</v>
      </c>
      <c r="L27" s="21">
        <f t="shared" si="19"/>
        <v>148.18</v>
      </c>
      <c r="M27" s="21">
        <f t="shared" si="20"/>
        <v>51.39</v>
      </c>
      <c r="N27" s="21">
        <f t="shared" si="21"/>
        <v>199.57</v>
      </c>
    </row>
    <row r="28" spans="2:14" ht="25.5" x14ac:dyDescent="0.25">
      <c r="B28" s="7" t="s">
        <v>172</v>
      </c>
      <c r="C28" s="7" t="s">
        <v>123</v>
      </c>
      <c r="D28" s="7">
        <v>95241</v>
      </c>
      <c r="E28" s="18" t="str">
        <f>IFERROR(VLOOKUP($B28,Quantitativos!$B$9:F5137,2,0),"-")</f>
        <v>LASTRO DE CONCRETO MAGRO, APLICADO EM PISOS, LAJES SOBRE SOLO OU RADIERS, ESPESSURA DE 5 CM</v>
      </c>
      <c r="F28" s="29">
        <f>IFERROR(VLOOKUP($B28,Quantitativos!$B$9:F5137,3,0),"-")</f>
        <v>12.5</v>
      </c>
      <c r="G28" s="7" t="str">
        <f>IFERROR(VLOOKUP($B28,Quantitativos!$B$9:F5137,4,0),"-")</f>
        <v>M3</v>
      </c>
      <c r="H28" s="21">
        <f>0.13+18.94+0.08</f>
        <v>19.149999999999999</v>
      </c>
      <c r="I28" s="21">
        <v>10.31</v>
      </c>
      <c r="J28" s="21">
        <f t="shared" si="18"/>
        <v>29.46</v>
      </c>
      <c r="K28" s="30">
        <f t="shared" si="14"/>
        <v>0.23810000000000001</v>
      </c>
      <c r="L28" s="21">
        <f t="shared" si="19"/>
        <v>296.37</v>
      </c>
      <c r="M28" s="21">
        <f t="shared" si="20"/>
        <v>159.56</v>
      </c>
      <c r="N28" s="21">
        <f t="shared" si="21"/>
        <v>455.93</v>
      </c>
    </row>
    <row r="29" spans="2:14" ht="25.5" x14ac:dyDescent="0.25">
      <c r="B29" s="7" t="s">
        <v>173</v>
      </c>
      <c r="C29" s="7" t="s">
        <v>123</v>
      </c>
      <c r="D29" s="7">
        <v>96531</v>
      </c>
      <c r="E29" s="18" t="str">
        <f>IFERROR(VLOOKUP($B29,Quantitativos!$B$9:F5138,2,0),"-")</f>
        <v>FABRICAÇÃO, MONTAGEM E DESMONTAGEM DE FORMA PARA BLOCO DE COROAMENTO, EM MADEIRA SERRADA, E=25 MM, 2 UTILIZAÇÕES</v>
      </c>
      <c r="F29" s="29">
        <f>IFERROR(VLOOKUP($B29,Quantitativos!$B$9:F5138,3,0),"-")</f>
        <v>57.599999999999994</v>
      </c>
      <c r="G29" s="7" t="str">
        <f>IFERROR(VLOOKUP($B29,Quantitativos!$B$9:F5138,4,0),"-")</f>
        <v>M2</v>
      </c>
      <c r="H29" s="21">
        <f>59.66+0.04</f>
        <v>59.699999999999996</v>
      </c>
      <c r="I29" s="21">
        <v>43.65</v>
      </c>
      <c r="J29" s="21">
        <f t="shared" si="18"/>
        <v>103.35</v>
      </c>
      <c r="K29" s="30">
        <f t="shared" si="14"/>
        <v>0.23810000000000001</v>
      </c>
      <c r="L29" s="21">
        <f t="shared" si="19"/>
        <v>4257.47</v>
      </c>
      <c r="M29" s="21">
        <f t="shared" si="20"/>
        <v>3112.88</v>
      </c>
      <c r="N29" s="21">
        <f t="shared" si="21"/>
        <v>7370.35</v>
      </c>
    </row>
    <row r="30" spans="2:14" ht="25.5" x14ac:dyDescent="0.25">
      <c r="B30" s="7" t="s">
        <v>174</v>
      </c>
      <c r="C30" s="7" t="s">
        <v>123</v>
      </c>
      <c r="D30" s="7">
        <v>96533</v>
      </c>
      <c r="E30" s="18" t="str">
        <f>IFERROR(VLOOKUP($B30,Quantitativos!$B$9:F5139,2,0),"-")</f>
        <v>FABRICAÇÃO, MONTAGEM E DESMONTAGEM DE FORMA PARA VIGA BALDRAME, EM MADEIRA SERRADA, E=25 MM, 2 UTILIZAÇÕES</v>
      </c>
      <c r="F30" s="29">
        <f>IFERROR(VLOOKUP($B30,Quantitativos!$B$9:F5139,3,0),"-")</f>
        <v>80.399999999999991</v>
      </c>
      <c r="G30" s="7" t="str">
        <f>IFERROR(VLOOKUP($B30,Quantitativos!$B$9:F5139,4,0),"-")</f>
        <v>M2</v>
      </c>
      <c r="H30" s="21">
        <f>54.22+0.03</f>
        <v>54.25</v>
      </c>
      <c r="I30" s="21">
        <v>36.020000000000003</v>
      </c>
      <c r="J30" s="21">
        <f t="shared" si="18"/>
        <v>90.27000000000001</v>
      </c>
      <c r="K30" s="30">
        <f t="shared" si="14"/>
        <v>0.23810000000000001</v>
      </c>
      <c r="L30" s="21">
        <f t="shared" si="19"/>
        <v>5400.22</v>
      </c>
      <c r="M30" s="21">
        <f t="shared" si="20"/>
        <v>3585.54</v>
      </c>
      <c r="N30" s="21">
        <f t="shared" si="21"/>
        <v>8985.76</v>
      </c>
    </row>
    <row r="31" spans="2:14" ht="25.5" x14ac:dyDescent="0.25">
      <c r="B31" s="7" t="s">
        <v>175</v>
      </c>
      <c r="C31" s="7" t="s">
        <v>123</v>
      </c>
      <c r="D31" s="7">
        <v>96543</v>
      </c>
      <c r="E31" s="18" t="str">
        <f>IFERROR(VLOOKUP($B31,Quantitativos!$B$9:F5140,2,0),"-")</f>
        <v>ARMAÇÃO DE BLOCO, VIGA BALDRAME E SAPATA UTILIZANDO AÇO CA-60 DE 5 MM - MONTAGEM</v>
      </c>
      <c r="F31" s="29">
        <f>IFERROR(VLOOKUP($B31,Quantitativos!$B$9:F5140,3,0),"-")</f>
        <v>101.1164</v>
      </c>
      <c r="G31" s="7" t="str">
        <f>IFERROR(VLOOKUP($B31,Quantitativos!$B$9:F5140,4,0),"-")</f>
        <v>KG</v>
      </c>
      <c r="H31" s="21">
        <v>11.69</v>
      </c>
      <c r="I31" s="21">
        <v>6.23</v>
      </c>
      <c r="J31" s="21">
        <f t="shared" si="18"/>
        <v>17.920000000000002</v>
      </c>
      <c r="K31" s="30">
        <f t="shared" si="14"/>
        <v>0.23810000000000001</v>
      </c>
      <c r="L31" s="21">
        <f t="shared" si="19"/>
        <v>1463.49</v>
      </c>
      <c r="M31" s="21">
        <f t="shared" si="20"/>
        <v>779.94</v>
      </c>
      <c r="N31" s="21">
        <f t="shared" si="21"/>
        <v>2243.4300000000003</v>
      </c>
    </row>
    <row r="32" spans="2:14" ht="25.5" x14ac:dyDescent="0.25">
      <c r="B32" s="7" t="s">
        <v>176</v>
      </c>
      <c r="C32" s="7" t="s">
        <v>123</v>
      </c>
      <c r="D32" s="7">
        <v>96547</v>
      </c>
      <c r="E32" s="18" t="str">
        <f>IFERROR(VLOOKUP($B32,Quantitativos!$B$9:F5141,2,0),"-")</f>
        <v>ARMAÇÃO DE BLOCO, VIGA BALDRAME OU SAPATA UTILIZANDO AÇO CA-50 DE 12,5 MM - MONTAGEM</v>
      </c>
      <c r="F32" s="29">
        <f>IFERROR(VLOOKUP($B32,Quantitativos!$B$9:F5141,3,0),"-")</f>
        <v>1181.7936</v>
      </c>
      <c r="G32" s="7" t="str">
        <f>IFERROR(VLOOKUP($B32,Quantitativos!$B$9:F5141,4,0),"-")</f>
        <v>KG</v>
      </c>
      <c r="H32" s="21">
        <v>9.75</v>
      </c>
      <c r="I32" s="21">
        <v>1.8</v>
      </c>
      <c r="J32" s="21">
        <f t="shared" si="18"/>
        <v>11.55</v>
      </c>
      <c r="K32" s="30">
        <f t="shared" si="14"/>
        <v>0.23810000000000001</v>
      </c>
      <c r="L32" s="21">
        <f t="shared" si="19"/>
        <v>14265.99</v>
      </c>
      <c r="M32" s="21">
        <f t="shared" si="20"/>
        <v>2633.72</v>
      </c>
      <c r="N32" s="21">
        <f t="shared" si="21"/>
        <v>16899.71</v>
      </c>
    </row>
    <row r="33" spans="2:14" ht="25.5" x14ac:dyDescent="0.25">
      <c r="B33" s="7" t="s">
        <v>252</v>
      </c>
      <c r="C33" s="7" t="s">
        <v>123</v>
      </c>
      <c r="D33" s="7">
        <v>96557</v>
      </c>
      <c r="E33" s="18" t="str">
        <f>IFERROR(VLOOKUP($B33,Quantitativos!$B$9:F5142,2,0),"-")</f>
        <v>CONCRETAGEM DE BLOCOS DE COROAMENTO E VIGAS BALDRAMES, COM USO DE BOMBA  LANÇAMENTO, ADENSAMENTO E ACABAMENTO</v>
      </c>
      <c r="F33" s="29">
        <f>IFERROR(VLOOKUP($B33,Quantitativos!$B$9:F5142,3,0),"-")</f>
        <v>16.68</v>
      </c>
      <c r="G33" s="7" t="str">
        <f>IFERROR(VLOOKUP($B33,Quantitativos!$B$9:F5142,4,0),"-")</f>
        <v>M3</v>
      </c>
      <c r="H33" s="21">
        <f>0.08+646.63+0.03</f>
        <v>646.74</v>
      </c>
      <c r="I33" s="21">
        <v>16.02</v>
      </c>
      <c r="J33" s="21">
        <f t="shared" si="18"/>
        <v>662.76</v>
      </c>
      <c r="K33" s="30">
        <f t="shared" si="14"/>
        <v>0.23810000000000001</v>
      </c>
      <c r="L33" s="21">
        <f t="shared" si="19"/>
        <v>13356.15</v>
      </c>
      <c r="M33" s="21">
        <f t="shared" si="20"/>
        <v>330.83</v>
      </c>
      <c r="N33" s="21">
        <f t="shared" si="21"/>
        <v>13686.98</v>
      </c>
    </row>
    <row r="34" spans="2:14" ht="25.5" x14ac:dyDescent="0.25">
      <c r="B34" s="7" t="s">
        <v>253</v>
      </c>
      <c r="C34" s="7" t="s">
        <v>123</v>
      </c>
      <c r="D34" s="7">
        <v>101166</v>
      </c>
      <c r="E34" s="18" t="str">
        <f>IFERROR(VLOOKUP($B34,Quantitativos!$B$9:F5134,2,0),"-")</f>
        <v>ALVENARIA DE EMBASAMENTO COM BLOCO ESTRUTURAL DE CERÂMICA OU GRÊS, DE 14X19X29CM E ARGAMASSA DE ASSENTAMENTO COM PREPARO EM BETONEIRA</v>
      </c>
      <c r="F34" s="29">
        <f>IFERROR(VLOOKUP($B34,Quantitativos!$B$9:F5134,3,0),"-")</f>
        <v>13.4</v>
      </c>
      <c r="G34" s="7" t="str">
        <f>IFERROR(VLOOKUP($B34,Quantitativos!$B$9:F5134,4,0),"-")</f>
        <v>M3</v>
      </c>
      <c r="H34" s="21">
        <f>0.21+393.58+0.14</f>
        <v>393.92999999999995</v>
      </c>
      <c r="I34" s="21">
        <v>249</v>
      </c>
      <c r="J34" s="21">
        <f t="shared" si="13"/>
        <v>642.92999999999995</v>
      </c>
      <c r="K34" s="30">
        <f t="shared" si="14"/>
        <v>0.23810000000000001</v>
      </c>
      <c r="L34" s="21">
        <f t="shared" si="15"/>
        <v>6535.51</v>
      </c>
      <c r="M34" s="21">
        <f t="shared" si="16"/>
        <v>4131.04</v>
      </c>
      <c r="N34" s="21">
        <f t="shared" si="17"/>
        <v>10666.55</v>
      </c>
    </row>
    <row r="35" spans="2:14" x14ac:dyDescent="0.25">
      <c r="B35" s="64" t="s">
        <v>51</v>
      </c>
      <c r="C35" s="64"/>
      <c r="D35" s="64"/>
      <c r="E35" s="64"/>
      <c r="F35" s="64"/>
      <c r="G35" s="64"/>
      <c r="H35" s="64"/>
      <c r="I35" s="64"/>
      <c r="J35" s="64"/>
      <c r="K35" s="64"/>
      <c r="L35" s="31">
        <f>SUM(L22:L34)</f>
        <v>56003.590000000004</v>
      </c>
      <c r="M35" s="31">
        <f>SUM(M22:M34)</f>
        <v>21792.240000000005</v>
      </c>
      <c r="N35" s="31">
        <f t="shared" ref="N35" si="22">SUM(N22:N34)</f>
        <v>77795.83</v>
      </c>
    </row>
    <row r="36" spans="2:14" x14ac:dyDescent="0.25">
      <c r="B36" s="28">
        <v>4</v>
      </c>
      <c r="C36" s="62" t="s">
        <v>188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25.5" x14ac:dyDescent="0.25">
      <c r="B37" s="7" t="s">
        <v>85</v>
      </c>
      <c r="C37" s="7" t="s">
        <v>123</v>
      </c>
      <c r="D37" s="7">
        <v>92411</v>
      </c>
      <c r="E37" s="18" t="str">
        <f>IFERROR(VLOOKUP($B37,Quantitativos!$B$9:F5131,2,0),"-")</f>
        <v>MONTAGEM E DESMONTAGEM DE FORMA DE PILARES RETANGULARES E ESTRUTURAS SIMILARES, PÉ-DIREITO SIMPLES, EM MADEIRA SERRADA, 2 UTILIZAÇÕES</v>
      </c>
      <c r="F37" s="29">
        <f>IFERROR(VLOOKUP($B37,Quantitativos!$B$9:F5131,3,0),"-")</f>
        <v>198.40000000000003</v>
      </c>
      <c r="G37" s="7" t="str">
        <f>IFERROR(VLOOKUP($B37,Quantitativos!$B$9:F5131,4,0),"-")</f>
        <v>M2</v>
      </c>
      <c r="H37" s="21">
        <f>0.01+67.15+0.02</f>
        <v>67.180000000000007</v>
      </c>
      <c r="I37" s="21">
        <v>73.3</v>
      </c>
      <c r="J37" s="21">
        <f t="shared" ref="J37:J44" si="23">IFERROR(H37+I37,0)</f>
        <v>140.48000000000002</v>
      </c>
      <c r="K37" s="30">
        <f t="shared" ref="K37:K44" si="24">$C$197</f>
        <v>0.23810000000000001</v>
      </c>
      <c r="L37" s="21">
        <f t="shared" ref="L37:L44" si="25">IFERROR(TRUNC((1+$K37)*$F37*H37,2),0)</f>
        <v>16502.03</v>
      </c>
      <c r="M37" s="21">
        <f t="shared" ref="M37:M44" si="26">IFERROR(TRUNC((1+$K37)*$F37*I37,2),0)</f>
        <v>18005.34</v>
      </c>
      <c r="N37" s="21">
        <f t="shared" ref="N37:N44" si="27">IFERROR(L37+M37,0)</f>
        <v>34507.369999999995</v>
      </c>
    </row>
    <row r="38" spans="2:14" ht="25.5" x14ac:dyDescent="0.25">
      <c r="B38" s="7" t="s">
        <v>86</v>
      </c>
      <c r="C38" s="7" t="s">
        <v>123</v>
      </c>
      <c r="D38" s="7">
        <v>92447</v>
      </c>
      <c r="E38" s="18" t="str">
        <f>IFERROR(VLOOKUP($B38,Quantitativos!$B$9:F5132,2,0),"-")</f>
        <v>MONTAGEM E DESMONTAGEM DE FORMA DE VIGA, ESCORAMENTO COM PONTALETE DE MADEIRA, PÉ-DIREITO SIMPLES, EM MADEIRA SERRADA, 2 UTILIZAÇÕES</v>
      </c>
      <c r="F38" s="29">
        <f>IFERROR(VLOOKUP($B38,Quantitativos!$B$9:F5132,3,0),"-")</f>
        <v>293.20000000000005</v>
      </c>
      <c r="G38" s="7" t="str">
        <f>IFERROR(VLOOKUP($B38,Quantitativos!$B$9:F5132,4,0),"-")</f>
        <v>M2</v>
      </c>
      <c r="H38" s="21">
        <f>0.01+93.56+0.03</f>
        <v>93.600000000000009</v>
      </c>
      <c r="I38" s="21">
        <v>69.11</v>
      </c>
      <c r="J38" s="21">
        <f t="shared" si="23"/>
        <v>162.71</v>
      </c>
      <c r="K38" s="30">
        <f t="shared" si="24"/>
        <v>0.23810000000000001</v>
      </c>
      <c r="L38" s="21">
        <f t="shared" si="25"/>
        <v>33977.82</v>
      </c>
      <c r="M38" s="21">
        <f t="shared" si="26"/>
        <v>25087.68</v>
      </c>
      <c r="N38" s="21">
        <f t="shared" si="27"/>
        <v>59065.5</v>
      </c>
    </row>
    <row r="39" spans="2:14" ht="25.5" x14ac:dyDescent="0.25">
      <c r="B39" s="7" t="s">
        <v>87</v>
      </c>
      <c r="C39" s="7" t="s">
        <v>123</v>
      </c>
      <c r="D39" s="7">
        <v>92760</v>
      </c>
      <c r="E39" s="18" t="str">
        <f>IFERROR(VLOOKUP($B39,Quantitativos!$B$9:F5132,2,0),"-")</f>
        <v>ARMAÇÃO DE PILAR OU VIGA DE ESTRUTURA CONVENCIONAL DE CONCRETO ARMADO UTILIZANDO AÇO CA-50 DE 6,3 MM - MONTAGEM</v>
      </c>
      <c r="F39" s="29">
        <f>IFERROR(VLOOKUP($B39,Quantitativos!$B$9:F5132,3,0),"-")</f>
        <v>394.15600000000001</v>
      </c>
      <c r="G39" s="7" t="str">
        <f>IFERROR(VLOOKUP($B39,Quantitativos!$B$9:F5132,4,0),"-")</f>
        <v>KG</v>
      </c>
      <c r="H39" s="21">
        <v>11.53</v>
      </c>
      <c r="I39" s="21">
        <v>2.4700000000000002</v>
      </c>
      <c r="J39" s="21">
        <f t="shared" ref="J39" si="28">IFERROR(H39+I39,0)</f>
        <v>14</v>
      </c>
      <c r="K39" s="30">
        <f t="shared" si="24"/>
        <v>0.23810000000000001</v>
      </c>
      <c r="L39" s="21">
        <f t="shared" ref="L39" si="29">IFERROR(TRUNC((1+$K39)*$F39*H39,2),0)</f>
        <v>5626.69</v>
      </c>
      <c r="M39" s="21">
        <f t="shared" ref="M39" si="30">IFERROR(TRUNC((1+$K39)*$F39*I39,2),0)</f>
        <v>1205.3699999999999</v>
      </c>
      <c r="N39" s="21">
        <f t="shared" ref="N39" si="31">IFERROR(L39+M39,0)</f>
        <v>6832.0599999999995</v>
      </c>
    </row>
    <row r="40" spans="2:14" ht="25.5" x14ac:dyDescent="0.25">
      <c r="B40" s="7" t="s">
        <v>88</v>
      </c>
      <c r="C40" s="7" t="s">
        <v>123</v>
      </c>
      <c r="D40" s="7">
        <v>92762</v>
      </c>
      <c r="E40" s="18" t="str">
        <f>IFERROR(VLOOKUP($B40,Quantitativos!$B$9:F5133,2,0),"-")</f>
        <v>ARMAÇÃO DE PILAR OU VIGA DE ESTRUTURA CONVENCIONAL DE CONCRETO ARMADO UTILIZANDO AÇO CA-50 DE 10,0 MM - MONTAGEM</v>
      </c>
      <c r="F40" s="29">
        <f>IFERROR(VLOOKUP($B40,Quantitativos!$B$9:F5133,3,0),"-")</f>
        <v>1024.22</v>
      </c>
      <c r="G40" s="7" t="str">
        <f>IFERROR(VLOOKUP($B40,Quantitativos!$B$9:F5133,4,0),"-")</f>
        <v>KG</v>
      </c>
      <c r="H40" s="21">
        <v>10.92</v>
      </c>
      <c r="I40" s="21">
        <v>1.05</v>
      </c>
      <c r="J40" s="21">
        <f t="shared" si="23"/>
        <v>11.97</v>
      </c>
      <c r="K40" s="30">
        <f t="shared" si="24"/>
        <v>0.23810000000000001</v>
      </c>
      <c r="L40" s="21">
        <f t="shared" si="25"/>
        <v>13847.5</v>
      </c>
      <c r="M40" s="21">
        <f t="shared" si="26"/>
        <v>1331.49</v>
      </c>
      <c r="N40" s="21">
        <f t="shared" si="27"/>
        <v>15178.99</v>
      </c>
    </row>
    <row r="41" spans="2:14" ht="25.5" x14ac:dyDescent="0.25">
      <c r="B41" s="7" t="s">
        <v>89</v>
      </c>
      <c r="C41" s="7" t="s">
        <v>123</v>
      </c>
      <c r="D41" s="7">
        <v>101963</v>
      </c>
      <c r="E41" s="18" t="str">
        <f>IFERROR(VLOOKUP($B41,Quantitativos!$B$9:F5134,2,0),"-")</f>
        <v>LAJE PRÉ-MOLDADA UNIDIRECIONAL, BIAPOIADA, PARA PISO, ENCHIMENTO EM CERÂMICA, VIGOTA CONVENCIONAL, ALTURA TOTAL DA LAJE (ENCHIMENTO+CAPA) = (8+4)</v>
      </c>
      <c r="F41" s="29">
        <f>IFERROR(VLOOKUP($B41,Quantitativos!$B$9:F5134,3,0),"-")</f>
        <v>475</v>
      </c>
      <c r="G41" s="7" t="str">
        <f>IFERROR(VLOOKUP($B41,Quantitativos!$B$9:F5134,4,0),"-")</f>
        <v>M2</v>
      </c>
      <c r="H41" s="21">
        <v>146.55000000000001</v>
      </c>
      <c r="I41" s="21">
        <v>26.62</v>
      </c>
      <c r="J41" s="21">
        <f t="shared" si="23"/>
        <v>173.17000000000002</v>
      </c>
      <c r="K41" s="30">
        <f t="shared" si="24"/>
        <v>0.23810000000000001</v>
      </c>
      <c r="L41" s="21">
        <f t="shared" si="25"/>
        <v>86185.68</v>
      </c>
      <c r="M41" s="21">
        <f t="shared" si="26"/>
        <v>15655.15</v>
      </c>
      <c r="N41" s="21">
        <f t="shared" si="27"/>
        <v>101840.82999999999</v>
      </c>
    </row>
    <row r="42" spans="2:14" ht="25.5" x14ac:dyDescent="0.25">
      <c r="B42" s="7" t="s">
        <v>90</v>
      </c>
      <c r="C42" s="7" t="s">
        <v>626</v>
      </c>
      <c r="D42" s="7" t="str">
        <f>IFERROR(IF($C42="PRÓPRIA",VLOOKUP($E42,CPU!$C$9:Q5035,15,0),0),"-")</f>
        <v>CP-04</v>
      </c>
      <c r="E42" s="18" t="str">
        <f>IFERROR(VLOOKUP($B42,Quantitativos!$B$9:F5135,2,0),"-")</f>
        <v>ESCADA EM CONCRETO ARMADO MOLDADO IN LOCO, FCK 25 MPA, COM 2 LANCES EM U E LAJE PLANA, FORMA EM SERRADA</v>
      </c>
      <c r="F42" s="29">
        <f>IFERROR(VLOOKUP($B42,Quantitativos!$B$9:F5135,3,0),"-")</f>
        <v>3.3520000000000003</v>
      </c>
      <c r="G42" s="7" t="str">
        <f>IFERROR(VLOOKUP($B42,Quantitativos!$B$9:F5135,4,0),"-")</f>
        <v>M3</v>
      </c>
      <c r="H42" s="21">
        <f>IFERROR(IF($C42="PRÓPRIA",VLOOKUP($E42,CPU!$C$9:Q5045,7,0),0),0)</f>
        <v>4807.5600000000004</v>
      </c>
      <c r="I42" s="21">
        <f>IFERROR(IF($C42="PRÓPRIA",VLOOKUP($E42,CPU!$C$9:Q5045,13,0),0),0)</f>
        <v>0</v>
      </c>
      <c r="J42" s="21">
        <f t="shared" si="23"/>
        <v>4807.5600000000004</v>
      </c>
      <c r="K42" s="30">
        <f t="shared" si="24"/>
        <v>0.23810000000000001</v>
      </c>
      <c r="L42" s="21">
        <f t="shared" si="25"/>
        <v>19951.900000000001</v>
      </c>
      <c r="M42" s="21">
        <f t="shared" si="26"/>
        <v>0</v>
      </c>
      <c r="N42" s="21">
        <f t="shared" si="27"/>
        <v>19951.900000000001</v>
      </c>
    </row>
    <row r="43" spans="2:14" ht="25.5" x14ac:dyDescent="0.25">
      <c r="B43" s="7" t="s">
        <v>91</v>
      </c>
      <c r="C43" s="7" t="s">
        <v>123</v>
      </c>
      <c r="D43" s="7">
        <v>103672</v>
      </c>
      <c r="E43" s="18" t="str">
        <f>IFERROR(VLOOKUP($B43,Quantitativos!$B$9:F5136,2,0),"-")</f>
        <v>CONCRETAGEM DE PILARES, FCK = 25 MPA, COM USO DE BOMBA - LANÇAMENTO, ADENSAMENTO E ACABAMENTO</v>
      </c>
      <c r="F43" s="29">
        <f>IFERROR(VLOOKUP($B43,Quantitativos!$B$9:F5136,3,0),"-")</f>
        <v>9.9200000000000017</v>
      </c>
      <c r="G43" s="7" t="str">
        <f>IFERROR(VLOOKUP($B43,Quantitativos!$B$9:F5136,4,0),"-")</f>
        <v>M3</v>
      </c>
      <c r="H43" s="21">
        <f>0.1+606.76+0.04</f>
        <v>606.9</v>
      </c>
      <c r="I43" s="21">
        <v>30.46</v>
      </c>
      <c r="J43" s="21">
        <f t="shared" si="23"/>
        <v>637.36</v>
      </c>
      <c r="K43" s="30">
        <f t="shared" si="24"/>
        <v>0.23810000000000001</v>
      </c>
      <c r="L43" s="21">
        <f t="shared" si="25"/>
        <v>7453.91</v>
      </c>
      <c r="M43" s="21">
        <f t="shared" si="26"/>
        <v>374.1</v>
      </c>
      <c r="N43" s="21">
        <f t="shared" si="27"/>
        <v>7828.01</v>
      </c>
    </row>
    <row r="44" spans="2:14" ht="25.5" x14ac:dyDescent="0.25">
      <c r="B44" s="7" t="s">
        <v>210</v>
      </c>
      <c r="C44" s="7" t="s">
        <v>123</v>
      </c>
      <c r="D44" s="7">
        <v>103674</v>
      </c>
      <c r="E44" s="18" t="str">
        <f>IFERROR(VLOOKUP($B44,Quantitativos!$B$9:F5134,2,0),"-")</f>
        <v>CONCRETAGEM DE VIGAS E LAJES, FCK=25 MPA, PARA LAJES PRÉ-MOLDADAS COM USO DE BOMBA - LANÇAMENTO, ADENSAMENTO E ACABAMENTO</v>
      </c>
      <c r="F44" s="29">
        <f>IFERROR(VLOOKUP($B44,Quantitativos!$B$9:F5134,3,0),"-")</f>
        <v>22.64</v>
      </c>
      <c r="G44" s="7" t="str">
        <f>IFERROR(VLOOKUP($B44,Quantitativos!$B$9:F5134,4,0),"-")</f>
        <v>M3</v>
      </c>
      <c r="H44" s="21">
        <f>0.2+610.66+0.08</f>
        <v>610.94000000000005</v>
      </c>
      <c r="I44" s="21">
        <v>45.43</v>
      </c>
      <c r="J44" s="21">
        <f t="shared" si="23"/>
        <v>656.37</v>
      </c>
      <c r="K44" s="30">
        <f t="shared" si="24"/>
        <v>0.23810000000000001</v>
      </c>
      <c r="L44" s="21">
        <f t="shared" si="25"/>
        <v>17125</v>
      </c>
      <c r="M44" s="21">
        <f t="shared" si="26"/>
        <v>1273.42</v>
      </c>
      <c r="N44" s="21">
        <f t="shared" si="27"/>
        <v>18398.419999999998</v>
      </c>
    </row>
    <row r="45" spans="2:14" x14ac:dyDescent="0.25">
      <c r="B45" s="64" t="s">
        <v>92</v>
      </c>
      <c r="C45" s="64"/>
      <c r="D45" s="64"/>
      <c r="E45" s="64"/>
      <c r="F45" s="64"/>
      <c r="G45" s="64"/>
      <c r="H45" s="64"/>
      <c r="I45" s="64"/>
      <c r="J45" s="64"/>
      <c r="K45" s="64"/>
      <c r="L45" s="31">
        <f>SUM(L37:L44)</f>
        <v>200670.53</v>
      </c>
      <c r="M45" s="31">
        <f>SUM(M37:M44)</f>
        <v>62932.55</v>
      </c>
      <c r="N45" s="31">
        <f t="shared" ref="N45" si="32">SUM(N37:N44)</f>
        <v>263603.08</v>
      </c>
    </row>
    <row r="46" spans="2:14" x14ac:dyDescent="0.25">
      <c r="B46" s="28">
        <v>5</v>
      </c>
      <c r="C46" s="62" t="s">
        <v>215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3"/>
    </row>
    <row r="47" spans="2:14" ht="25.5" x14ac:dyDescent="0.25">
      <c r="B47" s="7" t="s">
        <v>70</v>
      </c>
      <c r="C47" s="7" t="s">
        <v>123</v>
      </c>
      <c r="D47" s="7">
        <v>103332</v>
      </c>
      <c r="E47" s="18" t="str">
        <f>IFERROR(VLOOKUP($B47,Quantitativos!$B$9:F5135,2,0),"-")</f>
        <v>ALVENARIA DE VEDAÇÃO DE BLOCOS CERÂMICOS FURADOS NA HORIZONTAL DE 9X14X19 CM (ESPESSURA 9 CM) E ARGAMASSA DE ASSENTAMENTO COM PREPARO EM BETONEIRA</v>
      </c>
      <c r="F47" s="29">
        <f>IFERROR(VLOOKUP($B47,Quantitativos!$B$9:F5135,3,0),"-")</f>
        <v>857.52</v>
      </c>
      <c r="G47" s="7" t="str">
        <f>IFERROR(VLOOKUP($B47,Quantitativos!$B$9:F5135,4,0),"-")</f>
        <v>M2</v>
      </c>
      <c r="H47" s="21">
        <f>0.01+50.86+0.01</f>
        <v>50.879999999999995</v>
      </c>
      <c r="I47" s="21">
        <v>63.31</v>
      </c>
      <c r="J47" s="21">
        <f t="shared" ref="J47:J52" si="33">IFERROR(H47+I47,0)</f>
        <v>114.19</v>
      </c>
      <c r="K47" s="30">
        <f t="shared" ref="K47:K52" si="34">$C$197</f>
        <v>0.23810000000000001</v>
      </c>
      <c r="L47" s="21">
        <f t="shared" ref="L47:L52" si="35">IFERROR(TRUNC((1+$K47)*$F47*H47,2),0)</f>
        <v>54019.06</v>
      </c>
      <c r="M47" s="21">
        <f t="shared" ref="M47:M52" si="36">IFERROR(TRUNC((1+$K47)*$F47*I47,2),0)</f>
        <v>67215.94</v>
      </c>
      <c r="N47" s="21">
        <f t="shared" ref="N47:N52" si="37">IFERROR(L47+M47,0)</f>
        <v>121235</v>
      </c>
    </row>
    <row r="48" spans="2:14" ht="25.5" x14ac:dyDescent="0.25">
      <c r="B48" s="7" t="s">
        <v>216</v>
      </c>
      <c r="C48" s="7" t="s">
        <v>626</v>
      </c>
      <c r="D48" s="7" t="str">
        <f>IFERROR(IF($C48="PRÓPRIA",VLOOKUP($E48,CPU!$C$9:Q5033,15,0),0),"-")</f>
        <v>CP-10</v>
      </c>
      <c r="E48" s="18" t="str">
        <f>IFERROR(VLOOKUP($B48,Quantitativos!$B$9:F5136,2,0),"-")</f>
        <v>FACHADA/COBERTURA DE ESTRUTURA METÁLICA, REVESTIDA POR PLACAS DE ACM, E = 0,3 MM</v>
      </c>
      <c r="F48" s="29">
        <f>IFERROR(VLOOKUP($B48,Quantitativos!$B$9:F5136,3,0),"-")</f>
        <v>1</v>
      </c>
      <c r="G48" s="7" t="str">
        <f>IFERROR(VLOOKUP($B48,Quantitativos!$B$9:F5136,4,0),"-")</f>
        <v>UND</v>
      </c>
      <c r="H48" s="21">
        <f>IFERROR(IF($C48="PRÓPRIA",VLOOKUP($E48,CPU!$C$9:Q5043,7,0),0),0)</f>
        <v>7412.9</v>
      </c>
      <c r="I48" s="21">
        <f>IFERROR(IF($C48="PRÓPRIA",VLOOKUP($E48,CPU!$C$9:Q5043,13,0),0),0)</f>
        <v>694.18</v>
      </c>
      <c r="J48" s="21">
        <f t="shared" si="33"/>
        <v>8107.08</v>
      </c>
      <c r="K48" s="30">
        <f t="shared" si="34"/>
        <v>0.23810000000000001</v>
      </c>
      <c r="L48" s="21">
        <f t="shared" si="35"/>
        <v>9177.91</v>
      </c>
      <c r="M48" s="21">
        <f t="shared" si="36"/>
        <v>859.46</v>
      </c>
      <c r="N48" s="21">
        <f t="shared" si="37"/>
        <v>10037.369999999999</v>
      </c>
    </row>
    <row r="49" spans="2:14" x14ac:dyDescent="0.25">
      <c r="B49" s="7" t="s">
        <v>217</v>
      </c>
      <c r="C49" s="7" t="s">
        <v>123</v>
      </c>
      <c r="D49" s="7">
        <v>93186</v>
      </c>
      <c r="E49" s="18" t="str">
        <f>IFERROR(VLOOKUP($B49,Quantitativos!$B$9:F5134,2,0),"-")</f>
        <v>VERGA MOLDADA IN LOCO EM CONCRETO PARA JANELAS COM ATÉ 1,5 M DE VÃO</v>
      </c>
      <c r="F49" s="29">
        <f>IFERROR(VLOOKUP($B49,Quantitativos!$B$9:F5134,3,0),"-")</f>
        <v>52.8</v>
      </c>
      <c r="G49" s="7" t="str">
        <f>IFERROR(VLOOKUP($B49,Quantitativos!$B$9:F5134,4,0),"-")</f>
        <v>M</v>
      </c>
      <c r="H49" s="21">
        <f>0.03+50.6+0.04</f>
        <v>50.67</v>
      </c>
      <c r="I49" s="21">
        <v>21.33</v>
      </c>
      <c r="J49" s="21">
        <f t="shared" si="33"/>
        <v>72</v>
      </c>
      <c r="K49" s="30">
        <f t="shared" si="34"/>
        <v>0.23810000000000001</v>
      </c>
      <c r="L49" s="21">
        <f t="shared" si="35"/>
        <v>3312.38</v>
      </c>
      <c r="M49" s="21">
        <f t="shared" si="36"/>
        <v>1394.37</v>
      </c>
      <c r="N49" s="21">
        <f t="shared" si="37"/>
        <v>4706.75</v>
      </c>
    </row>
    <row r="50" spans="2:14" x14ac:dyDescent="0.25">
      <c r="B50" s="7" t="s">
        <v>218</v>
      </c>
      <c r="C50" s="7" t="s">
        <v>123</v>
      </c>
      <c r="D50" s="7">
        <v>93188</v>
      </c>
      <c r="E50" s="18" t="str">
        <f>IFERROR(VLOOKUP($B50,Quantitativos!$B$9:F5135,2,0),"-")</f>
        <v>VERGA MOLDADA IN LOCO EM CONCRETO PARA PORTAS COM ATÉ 1,5 M DE VÃO</v>
      </c>
      <c r="F50" s="29">
        <f>IFERROR(VLOOKUP($B50,Quantitativos!$B$9:F5135,3,0),"-")</f>
        <v>15.96</v>
      </c>
      <c r="G50" s="7" t="str">
        <f>IFERROR(VLOOKUP($B50,Quantitativos!$B$9:F5135,4,0),"-")</f>
        <v>M</v>
      </c>
      <c r="H50" s="21">
        <f>0.01+47.77+0.02</f>
        <v>47.800000000000004</v>
      </c>
      <c r="I50" s="21">
        <v>19.97</v>
      </c>
      <c r="J50" s="21">
        <f t="shared" si="33"/>
        <v>67.77000000000001</v>
      </c>
      <c r="K50" s="30">
        <f t="shared" si="34"/>
        <v>0.23810000000000001</v>
      </c>
      <c r="L50" s="21">
        <f t="shared" si="35"/>
        <v>944.53</v>
      </c>
      <c r="M50" s="21">
        <f t="shared" si="36"/>
        <v>394.6</v>
      </c>
      <c r="N50" s="21">
        <f t="shared" si="37"/>
        <v>1339.13</v>
      </c>
    </row>
    <row r="51" spans="2:14" x14ac:dyDescent="0.25">
      <c r="B51" s="7" t="s">
        <v>219</v>
      </c>
      <c r="C51" s="7" t="s">
        <v>123</v>
      </c>
      <c r="D51" s="7">
        <v>93189</v>
      </c>
      <c r="E51" s="18" t="str">
        <f>IFERROR(VLOOKUP($B51,Quantitativos!$B$9:F5136,2,0),"-")</f>
        <v>VERGA MOLDADA IN LOCO EM CONCRETO PARA PORTAS COM MAIS DE 1,5 M DE VÃO</v>
      </c>
      <c r="F51" s="29">
        <f>IFERROR(VLOOKUP($B51,Quantitativos!$B$9:F5136,3,0),"-")</f>
        <v>8.64</v>
      </c>
      <c r="G51" s="7" t="str">
        <f>IFERROR(VLOOKUP($B51,Quantitativos!$B$9:F5136,4,0),"-")</f>
        <v>M</v>
      </c>
      <c r="H51" s="21">
        <f>0.04+60.93+0.05</f>
        <v>61.019999999999996</v>
      </c>
      <c r="I51" s="21">
        <v>22.19</v>
      </c>
      <c r="J51" s="21">
        <f t="shared" si="33"/>
        <v>83.21</v>
      </c>
      <c r="K51" s="30">
        <f t="shared" si="34"/>
        <v>0.23810000000000001</v>
      </c>
      <c r="L51" s="21">
        <f t="shared" si="35"/>
        <v>652.74</v>
      </c>
      <c r="M51" s="21">
        <f t="shared" si="36"/>
        <v>237.37</v>
      </c>
      <c r="N51" s="21">
        <f t="shared" si="37"/>
        <v>890.11</v>
      </c>
    </row>
    <row r="52" spans="2:14" ht="25.5" x14ac:dyDescent="0.25">
      <c r="B52" s="7" t="s">
        <v>220</v>
      </c>
      <c r="C52" s="7" t="s">
        <v>123</v>
      </c>
      <c r="D52" s="7">
        <v>93196</v>
      </c>
      <c r="E52" s="18" t="str">
        <f>IFERROR(VLOOKUP($B52,Quantitativos!$B$9:F5137,2,0),"-")</f>
        <v>CONTRAVERGA MOLDADA IN LOCO EM CONCRETO PARA VÃOS DE ATÉ 1,5 M DE COMPRIMENTO</v>
      </c>
      <c r="F52" s="29">
        <f>IFERROR(VLOOKUP($B52,Quantitativos!$B$9:F5137,3,0),"-")</f>
        <v>52.8</v>
      </c>
      <c r="G52" s="7" t="str">
        <f>IFERROR(VLOOKUP($B52,Quantitativos!$B$9:F5137,4,0),"-")</f>
        <v>M</v>
      </c>
      <c r="H52" s="21">
        <f>0.03+48.12+0.04</f>
        <v>48.19</v>
      </c>
      <c r="I52" s="21">
        <v>21.33</v>
      </c>
      <c r="J52" s="21">
        <f t="shared" si="33"/>
        <v>69.52</v>
      </c>
      <c r="K52" s="30">
        <f t="shared" si="34"/>
        <v>0.23810000000000001</v>
      </c>
      <c r="L52" s="21">
        <f t="shared" si="35"/>
        <v>3150.26</v>
      </c>
      <c r="M52" s="21">
        <f t="shared" si="36"/>
        <v>1394.37</v>
      </c>
      <c r="N52" s="21">
        <f t="shared" si="37"/>
        <v>4544.63</v>
      </c>
    </row>
    <row r="53" spans="2:14" x14ac:dyDescent="0.25">
      <c r="B53" s="64" t="s">
        <v>56</v>
      </c>
      <c r="C53" s="64"/>
      <c r="D53" s="64"/>
      <c r="E53" s="64"/>
      <c r="F53" s="64"/>
      <c r="G53" s="64"/>
      <c r="H53" s="64"/>
      <c r="I53" s="64"/>
      <c r="J53" s="64"/>
      <c r="K53" s="64"/>
      <c r="L53" s="31">
        <f>SUM(L47:L52)</f>
        <v>71256.88</v>
      </c>
      <c r="M53" s="31">
        <f t="shared" ref="M53:N53" si="38">SUM(M47:M52)</f>
        <v>71496.11</v>
      </c>
      <c r="N53" s="31">
        <f t="shared" si="38"/>
        <v>142752.99</v>
      </c>
    </row>
    <row r="54" spans="2:14" x14ac:dyDescent="0.25">
      <c r="B54" s="28">
        <v>6</v>
      </c>
      <c r="C54" s="62" t="s">
        <v>231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5" customHeight="1" x14ac:dyDescent="0.25">
      <c r="B55" s="55" t="s">
        <v>67</v>
      </c>
      <c r="C55" s="60" t="s">
        <v>232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2:14" ht="25.5" x14ac:dyDescent="0.25">
      <c r="B56" s="7" t="s">
        <v>233</v>
      </c>
      <c r="C56" s="7" t="s">
        <v>123</v>
      </c>
      <c r="D56" s="7">
        <v>87879</v>
      </c>
      <c r="E56" s="18" t="str">
        <f>IFERROR(VLOOKUP($B56,Quantitativos!$B$9:F5149,2,0),"-")</f>
        <v>CHAPISCO APLICADO EM ALVENARIAS E ESTRUTURAS DE CONCRETO INTERNAS, COM COLHER DE PEDREIRO. ARGAMASSA TRAÇO 1:3 COM PREPARO EM BETONEIRA 400L</v>
      </c>
      <c r="F56" s="29">
        <f>IFERROR(VLOOKUP($B56,Quantitativos!$B$9:F5149,3,0),"-")</f>
        <v>1188.32</v>
      </c>
      <c r="G56" s="7" t="str">
        <f>IFERROR(VLOOKUP($B56,Quantitativos!$B$9:F5149,4,0),"-")</f>
        <v>M2</v>
      </c>
      <c r="H56" s="21">
        <v>2.12</v>
      </c>
      <c r="I56" s="21">
        <v>2.1800000000000002</v>
      </c>
      <c r="J56" s="21">
        <f t="shared" ref="J56:J64" si="39">IFERROR(H56+I56,0)</f>
        <v>4.3000000000000007</v>
      </c>
      <c r="K56" s="30">
        <f t="shared" ref="K56:K61" si="40">$C$197</f>
        <v>0.23810000000000001</v>
      </c>
      <c r="L56" s="21">
        <f t="shared" ref="L56:L64" si="41">IFERROR(TRUNC((1+$K56)*$F56*H56,2),0)</f>
        <v>3119.06</v>
      </c>
      <c r="M56" s="21">
        <f t="shared" ref="M56:M64" si="42">IFERROR(TRUNC((1+$K56)*$F56*I56,2),0)</f>
        <v>3207.34</v>
      </c>
      <c r="N56" s="21">
        <f t="shared" ref="N56:N64" si="43">IFERROR(L56+M56,0)</f>
        <v>6326.4</v>
      </c>
    </row>
    <row r="57" spans="2:14" ht="25.5" x14ac:dyDescent="0.25">
      <c r="B57" s="7" t="s">
        <v>234</v>
      </c>
      <c r="C57" s="7" t="s">
        <v>123</v>
      </c>
      <c r="D57" s="7">
        <v>87886</v>
      </c>
      <c r="E57" s="18" t="str">
        <f>IFERROR(VLOOKUP($B57,Quantitativos!$B$9:F5150,2,0),"-")</f>
        <v>CHAPISCO APLICADO NO TETO OU EM ESTRUTURA, COM DESEMPENADEIRA DENTADA. ARGAMASSA INDUSTRIALIZADA COM PREPARO MANUAL</v>
      </c>
      <c r="F57" s="29">
        <f>IFERROR(VLOOKUP($B57,Quantitativos!$B$9:F5150,3,0),"-")</f>
        <v>460</v>
      </c>
      <c r="G57" s="7" t="str">
        <f>IFERROR(VLOOKUP($B57,Quantitativos!$B$9:F5150,4,0),"-")</f>
        <v>M2</v>
      </c>
      <c r="H57" s="21">
        <v>11.23</v>
      </c>
      <c r="I57" s="21">
        <v>4.25</v>
      </c>
      <c r="J57" s="21">
        <f t="shared" si="39"/>
        <v>15.48</v>
      </c>
      <c r="K57" s="30">
        <f t="shared" si="40"/>
        <v>0.23810000000000001</v>
      </c>
      <c r="L57" s="21">
        <f t="shared" si="41"/>
        <v>6395.77</v>
      </c>
      <c r="M57" s="21">
        <f t="shared" si="42"/>
        <v>2420.48</v>
      </c>
      <c r="N57" s="21">
        <f t="shared" si="43"/>
        <v>8816.25</v>
      </c>
    </row>
    <row r="58" spans="2:14" ht="38.25" x14ac:dyDescent="0.25">
      <c r="B58" s="7" t="s">
        <v>235</v>
      </c>
      <c r="C58" s="7" t="s">
        <v>123</v>
      </c>
      <c r="D58" s="7">
        <v>87529</v>
      </c>
      <c r="E58" s="18" t="str">
        <f>IFERROR(VLOOKUP($B58,Quantitativos!$B$9:F5150,2,0),"-")</f>
        <v>MASSA ÚNICA, PARA RECEBIMENTO DE PINTURA, EM ARGAMASSA TRAÇO 1:2:8, PREPARO MECÂNICO COM BETONEIRA 400L, APLICADA MANUALMENTE EM FACES INTERNAS DE PAREDES, ESPESSURA DE 20MM, COM EXECUÇÃO DE TALISCAS</v>
      </c>
      <c r="F58" s="29">
        <f>IFERROR(VLOOKUP($B58,Quantitativos!$B$9:F5150,3,0),"-")</f>
        <v>904.15999999999985</v>
      </c>
      <c r="G58" s="7" t="str">
        <f>IFERROR(VLOOKUP($B58,Quantitativos!$B$9:F5150,4,0),"-")</f>
        <v>M2</v>
      </c>
      <c r="H58" s="21">
        <f>0.05+19.4+0.04</f>
        <v>19.489999999999998</v>
      </c>
      <c r="I58" s="21">
        <v>16.09</v>
      </c>
      <c r="J58" s="21">
        <f t="shared" si="39"/>
        <v>35.58</v>
      </c>
      <c r="K58" s="30">
        <f t="shared" si="40"/>
        <v>0.23810000000000001</v>
      </c>
      <c r="L58" s="21">
        <f t="shared" si="41"/>
        <v>21817.89</v>
      </c>
      <c r="M58" s="21">
        <f t="shared" si="42"/>
        <v>18011.79</v>
      </c>
      <c r="N58" s="21">
        <f t="shared" si="43"/>
        <v>39829.68</v>
      </c>
    </row>
    <row r="59" spans="2:14" ht="38.25" x14ac:dyDescent="0.25">
      <c r="B59" s="7" t="s">
        <v>236</v>
      </c>
      <c r="C59" s="7" t="s">
        <v>123</v>
      </c>
      <c r="D59" s="7">
        <v>90408</v>
      </c>
      <c r="E59" s="18" t="str">
        <f>IFERROR(VLOOKUP($B59,Quantitativos!$B$9:F5151,2,0),"-")</f>
        <v>MASSA ÚNICA, PARA RECEBIMENTO DE PINTURA, EM ARGAMASSA TRAÇO 1:2:8, PREPARO MECÂNICO COM BETONEIRA 400L, APLICADA MANUALMENTE EM TETO, ESPESSURA DE 10MM, COM EXECUÇÃO DE TALISCAS</v>
      </c>
      <c r="F59" s="29">
        <f>IFERROR(VLOOKUP($B59,Quantitativos!$B$9:F5151,3,0),"-")</f>
        <v>460</v>
      </c>
      <c r="G59" s="7" t="str">
        <f>IFERROR(VLOOKUP($B59,Quantitativos!$B$9:F5151,4,0),"-")</f>
        <v>M2</v>
      </c>
      <c r="H59" s="21">
        <f>0.02+13.89+0.02</f>
        <v>13.93</v>
      </c>
      <c r="I59" s="21">
        <v>19.489999999999998</v>
      </c>
      <c r="J59" s="21">
        <f t="shared" si="39"/>
        <v>33.42</v>
      </c>
      <c r="K59" s="30">
        <f t="shared" si="40"/>
        <v>0.23810000000000001</v>
      </c>
      <c r="L59" s="21">
        <f t="shared" si="41"/>
        <v>7933.49</v>
      </c>
      <c r="M59" s="21">
        <f t="shared" si="42"/>
        <v>11100.06</v>
      </c>
      <c r="N59" s="21">
        <f t="shared" si="43"/>
        <v>19033.55</v>
      </c>
    </row>
    <row r="60" spans="2:14" ht="51" x14ac:dyDescent="0.25">
      <c r="B60" s="7" t="s">
        <v>280</v>
      </c>
      <c r="C60" s="7" t="s">
        <v>123</v>
      </c>
      <c r="D60" s="7">
        <v>87531</v>
      </c>
      <c r="E60" s="18" t="str">
        <f>IFERROR(VLOOKUP($B60,Quantitativos!$B$9:F5152,2,0),"-")</f>
        <v>EMBOÇO, PARA RECEBIMENTO DE CERÂMICA, EM ARGAMASSA TRAÇO 1:2:8, PREPARO MECÂNICO COM BETONEIRA 400L, APLICADO MANUALMENTE EM FACES INTERNAS DE PAREDES, PARA AMBIENTE COM ÁREA ENTRE 5M2 E 10M2, ESPESSURA DE 20MM, COM EXECUÇÃO DE TALISCAS</v>
      </c>
      <c r="F60" s="29">
        <f>IFERROR(VLOOKUP($B60,Quantitativos!$B$9:F5152,3,0),"-")</f>
        <v>284.16000000000003</v>
      </c>
      <c r="G60" s="7" t="str">
        <f>IFERROR(VLOOKUP($B60,Quantitativos!$B$9:F5152,4,0),"-")</f>
        <v>M2</v>
      </c>
      <c r="H60" s="21">
        <f>0.05+19.12+0.04</f>
        <v>19.21</v>
      </c>
      <c r="I60" s="21">
        <v>15.05</v>
      </c>
      <c r="J60" s="21">
        <f t="shared" si="39"/>
        <v>34.260000000000005</v>
      </c>
      <c r="K60" s="30">
        <f t="shared" si="40"/>
        <v>0.23810000000000001</v>
      </c>
      <c r="L60" s="21">
        <f t="shared" si="41"/>
        <v>6758.43</v>
      </c>
      <c r="M60" s="21">
        <f t="shared" si="42"/>
        <v>5294.86</v>
      </c>
      <c r="N60" s="21">
        <f t="shared" si="43"/>
        <v>12053.29</v>
      </c>
    </row>
    <row r="61" spans="2:14" ht="25.5" x14ac:dyDescent="0.25">
      <c r="B61" s="7" t="s">
        <v>281</v>
      </c>
      <c r="C61" s="7" t="s">
        <v>123</v>
      </c>
      <c r="D61" s="7">
        <v>87265</v>
      </c>
      <c r="E61" s="18" t="str">
        <f>IFERROR(VLOOKUP($B61,Quantitativos!$B$9:F5153,2,0),"-")</f>
        <v>REVESTIMENTO CERÂMICO PARA PAREDES INTERNAS COM PLACAS TIPO ESMALTADA EXTRA DE DIMENSÕES 20X20 CM APLICADAS NA ALTURA INTEIRA DAS PAREDES</v>
      </c>
      <c r="F61" s="29">
        <f>IFERROR(VLOOKUP($B61,Quantitativos!$B$9:F5153,3,0),"-")</f>
        <v>284.16000000000003</v>
      </c>
      <c r="G61" s="7" t="str">
        <f>IFERROR(VLOOKUP($B61,Quantitativos!$B$9:F5153,4,0),"-")</f>
        <v>M2</v>
      </c>
      <c r="H61" s="21">
        <v>43.34</v>
      </c>
      <c r="I61" s="21">
        <v>15.06</v>
      </c>
      <c r="J61" s="21">
        <f t="shared" si="39"/>
        <v>58.400000000000006</v>
      </c>
      <c r="K61" s="30">
        <f t="shared" si="40"/>
        <v>0.23810000000000001</v>
      </c>
      <c r="L61" s="21">
        <f t="shared" si="41"/>
        <v>15247.81</v>
      </c>
      <c r="M61" s="21">
        <f t="shared" si="42"/>
        <v>5298.38</v>
      </c>
      <c r="N61" s="21">
        <f t="shared" si="43"/>
        <v>20546.189999999999</v>
      </c>
    </row>
    <row r="62" spans="2:14" ht="15" customHeight="1" x14ac:dyDescent="0.25">
      <c r="B62" s="55" t="s">
        <v>68</v>
      </c>
      <c r="C62" s="60" t="s">
        <v>245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2:14" ht="38.25" x14ac:dyDescent="0.25">
      <c r="B63" s="7" t="s">
        <v>246</v>
      </c>
      <c r="C63" s="7" t="s">
        <v>123</v>
      </c>
      <c r="D63" s="7">
        <v>87905</v>
      </c>
      <c r="E63" s="18" t="str">
        <f>IFERROR(VLOOKUP($B63,Quantitativos!$B$9:F5144,2,0),"-")</f>
        <v>CHAPISCO APLICADO EM ALVENARIA (COM PRESENÇA DE VÃOS) E ESTRUTURAS DE CONCRETO DE FACHADA, COM COLHER DE PEDREIRO. ARGAMASSA TRAÇO 1:3 COM PREPARO EM BETONEIRA 400L</v>
      </c>
      <c r="F63" s="29">
        <f>IFERROR(VLOOKUP($B63,Quantitativos!$B$9:F5144,3,0),"-")</f>
        <v>530</v>
      </c>
      <c r="G63" s="7" t="str">
        <f>IFERROR(VLOOKUP($B63,Quantitativos!$B$9:F5144,4,0),"-")</f>
        <v>M2</v>
      </c>
      <c r="H63" s="21">
        <v>2.86</v>
      </c>
      <c r="I63" s="21">
        <v>4.8099999999999996</v>
      </c>
      <c r="J63" s="21">
        <f t="shared" ref="J63" si="44">IFERROR(H63+I63,0)</f>
        <v>7.67</v>
      </c>
      <c r="K63" s="30">
        <f>$C$197</f>
        <v>0.23810000000000001</v>
      </c>
      <c r="L63" s="21">
        <f t="shared" ref="L63" si="45">IFERROR(TRUNC((1+$K63)*$F63*H63,2),0)</f>
        <v>1876.71</v>
      </c>
      <c r="M63" s="21">
        <f t="shared" ref="M63" si="46">IFERROR(TRUNC((1+$K63)*$F63*I63,2),0)</f>
        <v>3156.28</v>
      </c>
      <c r="N63" s="21">
        <f t="shared" ref="N63" si="47">IFERROR(L63+M63,0)</f>
        <v>5032.99</v>
      </c>
    </row>
    <row r="64" spans="2:14" ht="38.25" x14ac:dyDescent="0.25">
      <c r="B64" s="7" t="s">
        <v>247</v>
      </c>
      <c r="C64" s="7" t="s">
        <v>123</v>
      </c>
      <c r="D64" s="7">
        <v>87775</v>
      </c>
      <c r="E64" s="18" t="str">
        <f>IFERROR(VLOOKUP($B64,Quantitativos!$B$9:F5152,2,0),"-")</f>
        <v>EMBOÇO OU MASSA ÚNICA EM ARGAMASSA TRAÇO 1:2:8, PREPARO MECÂNICO COM BETONEIRA 400 L, APLICADA MANUALMENTE EM PANOS DE FACHADA COM PRESENÇA DE VÃOS, ESPESSURA DE 25 MM</v>
      </c>
      <c r="F64" s="29">
        <f>IFERROR(VLOOKUP($B64,Quantitativos!$B$9:F5152,3,0),"-")</f>
        <v>530</v>
      </c>
      <c r="G64" s="7" t="str">
        <f>IFERROR(VLOOKUP($B64,Quantitativos!$B$9:F5152,4,0),"-")</f>
        <v>M2</v>
      </c>
      <c r="H64" s="21">
        <f>0.04+23.07+0.03</f>
        <v>23.14</v>
      </c>
      <c r="I64" s="21">
        <v>27.83</v>
      </c>
      <c r="J64" s="21">
        <f t="shared" si="39"/>
        <v>50.97</v>
      </c>
      <c r="K64" s="30">
        <f>$C$197</f>
        <v>0.23810000000000001</v>
      </c>
      <c r="L64" s="21">
        <f t="shared" si="41"/>
        <v>15184.3</v>
      </c>
      <c r="M64" s="21">
        <f t="shared" si="42"/>
        <v>18261.849999999999</v>
      </c>
      <c r="N64" s="21">
        <f t="shared" si="43"/>
        <v>33446.149999999994</v>
      </c>
    </row>
    <row r="65" spans="2:14" x14ac:dyDescent="0.25">
      <c r="B65" s="64" t="s">
        <v>57</v>
      </c>
      <c r="C65" s="64"/>
      <c r="D65" s="64"/>
      <c r="E65" s="64"/>
      <c r="F65" s="64"/>
      <c r="G65" s="64"/>
      <c r="H65" s="64"/>
      <c r="I65" s="64"/>
      <c r="J65" s="64"/>
      <c r="K65" s="64"/>
      <c r="L65" s="31">
        <f>SUM(L56:L64)</f>
        <v>78333.459999999992</v>
      </c>
      <c r="M65" s="31">
        <f>SUM(M56:M64)</f>
        <v>66751.039999999994</v>
      </c>
      <c r="N65" s="31">
        <f>SUM(N56:N64)</f>
        <v>145084.5</v>
      </c>
    </row>
    <row r="66" spans="2:14" x14ac:dyDescent="0.25">
      <c r="B66" s="28">
        <v>7</v>
      </c>
      <c r="C66" s="62" t="s">
        <v>58</v>
      </c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38.25" x14ac:dyDescent="0.25">
      <c r="B67" s="7" t="s">
        <v>69</v>
      </c>
      <c r="C67" s="7" t="s">
        <v>123</v>
      </c>
      <c r="D67" s="7">
        <v>92563</v>
      </c>
      <c r="E67" s="18" t="str">
        <f>IFERROR(VLOOKUP($B67,Quantitativos!$B$9:F5155,2,0),"-")</f>
        <v>FABRICAÇÃO E INSTALAÇÃO DE TESOURA INTEIRA EM MADEIRA NÃO APARELHADA, VÃO DE 11 M, PARA TELHA ONDULADA DE FIBROCIMENTO, METÁLICA, PLÁSTICA OU TERMOACÚSTICA, INCLUSO IÇAMENTO</v>
      </c>
      <c r="F67" s="29">
        <f>IFERROR(VLOOKUP($B67,Quantitativos!$B$9:F5155,3,0),"-")</f>
        <v>8</v>
      </c>
      <c r="G67" s="7" t="str">
        <f>IFERROR(VLOOKUP($B67,Quantitativos!$B$9:F5155,4,0),"-")</f>
        <v>UND</v>
      </c>
      <c r="H67" s="21">
        <f>50.16+1349.85+1.25</f>
        <v>1401.26</v>
      </c>
      <c r="I67" s="21">
        <v>901.26</v>
      </c>
      <c r="J67" s="21">
        <f t="shared" ref="J67:J72" si="48">IFERROR(H67+I67,0)</f>
        <v>2302.52</v>
      </c>
      <c r="K67" s="30">
        <f t="shared" ref="K67:K72" si="49">$C$197</f>
        <v>0.23810000000000001</v>
      </c>
      <c r="L67" s="21">
        <f t="shared" ref="L67:L72" si="50">IFERROR(TRUNC((1+$K67)*$F67*H67,2),0)</f>
        <v>13879.2</v>
      </c>
      <c r="M67" s="21">
        <f t="shared" ref="M67:M72" si="51">IFERROR(TRUNC((1+$K67)*$F67*I67,2),0)</f>
        <v>8926.7999999999993</v>
      </c>
      <c r="N67" s="21">
        <f t="shared" ref="N67:N72" si="52">IFERROR(L67+M67,0)</f>
        <v>22806</v>
      </c>
    </row>
    <row r="68" spans="2:14" ht="38.25" x14ac:dyDescent="0.25">
      <c r="B68" s="7" t="s">
        <v>268</v>
      </c>
      <c r="C68" s="7" t="s">
        <v>123</v>
      </c>
      <c r="D68" s="7">
        <v>92543</v>
      </c>
      <c r="E68" s="18" t="str">
        <f>IFERROR(VLOOKUP($B68,Quantitativos!$B$9:F5156,2,0),"-")</f>
        <v>TRAMA DE MADEIRA COMPOSTA POR TERÇAS PARA TELHADOS DE ATÉ 2 ÁGUAS PARA TELHA ONDULADA DE FIBROCIMENTO, METÁLICA, PLÁSTICA OU TERMOACÚSTICA, INCLUSO TRANSPORTE VERTICAL</v>
      </c>
      <c r="F68" s="29">
        <f>IFERROR(VLOOKUP($B68,Quantitativos!$B$9:F5156,3,0),"-")</f>
        <v>249</v>
      </c>
      <c r="G68" s="7" t="str">
        <f>IFERROR(VLOOKUP($B68,Quantitativos!$B$9:F5156,4,0),"-")</f>
        <v>M2</v>
      </c>
      <c r="H68" s="21">
        <v>12.19</v>
      </c>
      <c r="I68" s="21">
        <v>3.73</v>
      </c>
      <c r="J68" s="21">
        <f t="shared" si="48"/>
        <v>15.92</v>
      </c>
      <c r="K68" s="30">
        <f t="shared" si="49"/>
        <v>0.23810000000000001</v>
      </c>
      <c r="L68" s="21">
        <f t="shared" si="50"/>
        <v>3758.01</v>
      </c>
      <c r="M68" s="21">
        <f t="shared" si="51"/>
        <v>1149.9100000000001</v>
      </c>
      <c r="N68" s="21">
        <f t="shared" si="52"/>
        <v>4907.92</v>
      </c>
    </row>
    <row r="69" spans="2:14" ht="38.25" x14ac:dyDescent="0.25">
      <c r="B69" s="7" t="s">
        <v>269</v>
      </c>
      <c r="C69" s="7" t="s">
        <v>123</v>
      </c>
      <c r="D69" s="7">
        <v>94207</v>
      </c>
      <c r="E69" s="18" t="str">
        <f>IFERROR(VLOOKUP($B69,Quantitativos!$B$9:F5154,2,0),"-")</f>
        <v>TELHAMENTO COM TELHA ONDULADA DE FIBROCIMENTO E = 6 MM, COM RECOBRIMENTO LATERAL DE 1/4 DE ONDA PARA TELHADO COM INCLINAÇÃO MAIOR QUE 10°, COM ATÉ 2 ÁGUAS, INCLUSO IÇAMENTO</v>
      </c>
      <c r="F69" s="29">
        <f>IFERROR(VLOOKUP($B69,Quantitativos!$B$9:F5154,3,0),"-")</f>
        <v>249</v>
      </c>
      <c r="G69" s="7" t="str">
        <f>IFERROR(VLOOKUP($B69,Quantitativos!$B$9:F5154,4,0),"-")</f>
        <v>M2</v>
      </c>
      <c r="H69" s="21">
        <v>44.23</v>
      </c>
      <c r="I69" s="21">
        <v>4.93</v>
      </c>
      <c r="J69" s="21">
        <f t="shared" si="48"/>
        <v>49.16</v>
      </c>
      <c r="K69" s="30">
        <f t="shared" si="49"/>
        <v>0.23810000000000001</v>
      </c>
      <c r="L69" s="21">
        <f t="shared" si="50"/>
        <v>13635.52</v>
      </c>
      <c r="M69" s="21">
        <f t="shared" si="51"/>
        <v>1519.85</v>
      </c>
      <c r="N69" s="21">
        <f t="shared" si="52"/>
        <v>15155.37</v>
      </c>
    </row>
    <row r="70" spans="2:14" ht="25.5" x14ac:dyDescent="0.25">
      <c r="B70" s="7" t="s">
        <v>270</v>
      </c>
      <c r="C70" s="7" t="s">
        <v>123</v>
      </c>
      <c r="D70" s="7">
        <v>94223</v>
      </c>
      <c r="E70" s="18" t="str">
        <f>IFERROR(VLOOKUP($B70,Quantitativos!$B$9:F5155,2,0),"-")</f>
        <v>CUMEEIRA PARA TELHA DE FIBROCIMENTO ONDULADA E = 6 MM, INCLUSO ACESSÓRIOS DE FIXAÇÃO E IÇAMENTO</v>
      </c>
      <c r="F70" s="29">
        <f>IFERROR(VLOOKUP($B70,Quantitativos!$B$9:F5155,3,0),"-")</f>
        <v>21.35</v>
      </c>
      <c r="G70" s="7" t="str">
        <f>IFERROR(VLOOKUP($B70,Quantitativos!$B$9:F5155,4,0),"-")</f>
        <v>M</v>
      </c>
      <c r="H70" s="21">
        <v>83</v>
      </c>
      <c r="I70" s="21">
        <v>2.4300000000000002</v>
      </c>
      <c r="J70" s="21">
        <f t="shared" si="48"/>
        <v>85.43</v>
      </c>
      <c r="K70" s="30">
        <f t="shared" si="49"/>
        <v>0.23810000000000001</v>
      </c>
      <c r="L70" s="21">
        <f t="shared" si="50"/>
        <v>2193.9699999999998</v>
      </c>
      <c r="M70" s="21">
        <f t="shared" si="51"/>
        <v>64.23</v>
      </c>
      <c r="N70" s="21">
        <f t="shared" si="52"/>
        <v>2258.1999999999998</v>
      </c>
    </row>
    <row r="71" spans="2:14" ht="25.5" x14ac:dyDescent="0.25">
      <c r="B71" s="7" t="s">
        <v>271</v>
      </c>
      <c r="C71" s="7" t="s">
        <v>123</v>
      </c>
      <c r="D71" s="7">
        <v>100327</v>
      </c>
      <c r="E71" s="18" t="str">
        <f>IFERROR(VLOOKUP($B71,Quantitativos!$B$9:F5156,2,0),"-")</f>
        <v>RUFO EXTERNO/INTERNO EM CHAPA DE AÇO GALVANIZADO NÚMERO 26, CORTE DE 33 CM, INCLUSO IÇAMENTO</v>
      </c>
      <c r="F71" s="29">
        <f>IFERROR(VLOOKUP($B71,Quantitativos!$B$9:F5156,3,0),"-")</f>
        <v>53.6</v>
      </c>
      <c r="G71" s="7" t="str">
        <f>IFERROR(VLOOKUP($B71,Quantitativos!$B$9:F5156,4,0),"-")</f>
        <v>M</v>
      </c>
      <c r="H71" s="21">
        <v>59.13</v>
      </c>
      <c r="I71" s="21">
        <v>7.41</v>
      </c>
      <c r="J71" s="21">
        <f t="shared" si="48"/>
        <v>66.540000000000006</v>
      </c>
      <c r="K71" s="30">
        <f t="shared" si="49"/>
        <v>0.23810000000000001</v>
      </c>
      <c r="L71" s="21">
        <f t="shared" si="50"/>
        <v>3923.99</v>
      </c>
      <c r="M71" s="21">
        <f t="shared" si="51"/>
        <v>491.74</v>
      </c>
      <c r="N71" s="21">
        <f t="shared" si="52"/>
        <v>4415.7299999999996</v>
      </c>
    </row>
    <row r="72" spans="2:14" ht="25.5" x14ac:dyDescent="0.25">
      <c r="B72" s="7" t="s">
        <v>272</v>
      </c>
      <c r="C72" s="7" t="s">
        <v>123</v>
      </c>
      <c r="D72" s="7">
        <v>94228</v>
      </c>
      <c r="E72" s="18" t="str">
        <f>IFERROR(VLOOKUP($B72,Quantitativos!$B$9:F5157,2,0),"-")</f>
        <v>CALHA EM CHAPA DE AÇO GALVANIZADO NÚMERO 24, DESENVOLVIMENTO DE 50 CM, INCLUSO TRANSPORTE VERTICAL</v>
      </c>
      <c r="F72" s="29">
        <f>IFERROR(VLOOKUP($B72,Quantitativos!$B$9:F5157,3,0),"-")</f>
        <v>37.25</v>
      </c>
      <c r="G72" s="7" t="str">
        <f>IFERROR(VLOOKUP($B72,Quantitativos!$B$9:F5157,4,0),"-")</f>
        <v>M</v>
      </c>
      <c r="H72" s="21">
        <v>86.59</v>
      </c>
      <c r="I72" s="21">
        <v>12.12</v>
      </c>
      <c r="J72" s="21">
        <f t="shared" si="48"/>
        <v>98.710000000000008</v>
      </c>
      <c r="K72" s="30">
        <f t="shared" si="49"/>
        <v>0.23810000000000001</v>
      </c>
      <c r="L72" s="21">
        <f t="shared" si="50"/>
        <v>3993.46</v>
      </c>
      <c r="M72" s="21">
        <f t="shared" si="51"/>
        <v>558.96</v>
      </c>
      <c r="N72" s="21">
        <f t="shared" si="52"/>
        <v>4552.42</v>
      </c>
    </row>
    <row r="73" spans="2:14" x14ac:dyDescent="0.25">
      <c r="B73" s="64" t="s">
        <v>60</v>
      </c>
      <c r="C73" s="64"/>
      <c r="D73" s="64"/>
      <c r="E73" s="64"/>
      <c r="F73" s="64"/>
      <c r="G73" s="64"/>
      <c r="H73" s="64"/>
      <c r="I73" s="64"/>
      <c r="J73" s="64"/>
      <c r="K73" s="64"/>
      <c r="L73" s="31">
        <f>SUM(L67:L72)</f>
        <v>41384.149999999994</v>
      </c>
      <c r="M73" s="31">
        <f t="shared" ref="M73:N73" si="53">SUM(M67:M72)</f>
        <v>12711.489999999998</v>
      </c>
      <c r="N73" s="31">
        <f t="shared" si="53"/>
        <v>54095.64</v>
      </c>
    </row>
    <row r="74" spans="2:14" x14ac:dyDescent="0.25">
      <c r="B74" s="28">
        <v>8</v>
      </c>
      <c r="C74" s="62" t="s">
        <v>59</v>
      </c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3"/>
    </row>
    <row r="75" spans="2:14" x14ac:dyDescent="0.25">
      <c r="B75" s="7" t="s">
        <v>273</v>
      </c>
      <c r="C75" s="7" t="s">
        <v>123</v>
      </c>
      <c r="D75" s="7">
        <v>98557</v>
      </c>
      <c r="E75" s="18" t="str">
        <f>IFERROR(VLOOKUP($B75,Quantitativos!$B$9:F5203,2,0),"-")</f>
        <v>IMPERMEABILIZAÇÃO DE SUPERFÍCIE COM EMULSÃO ASFÁLTICA, 2 DEMÃOS</v>
      </c>
      <c r="F75" s="29">
        <f>IFERROR(VLOOKUP($B75,Quantitativos!$B$9:F5203,3,0),"-")</f>
        <v>107.2</v>
      </c>
      <c r="G75" s="7" t="str">
        <f>IFERROR(VLOOKUP($B75,Quantitativos!$B$9:F5203,4,0),"-")</f>
        <v>M2</v>
      </c>
      <c r="H75" s="21">
        <v>39.69</v>
      </c>
      <c r="I75" s="21">
        <v>10.59</v>
      </c>
      <c r="J75" s="21">
        <f>IFERROR(H75+I75,0)</f>
        <v>50.28</v>
      </c>
      <c r="K75" s="30">
        <f>$C$197</f>
        <v>0.23810000000000001</v>
      </c>
      <c r="L75" s="21">
        <f>IFERROR(TRUNC((1+$K75)*$F75*H75,2),0)</f>
        <v>5267.82</v>
      </c>
      <c r="M75" s="21">
        <f>IFERROR(TRUNC((1+$K75)*$F75*I75,2),0)</f>
        <v>1405.55</v>
      </c>
      <c r="N75" s="21">
        <f>IFERROR(L75+M75,0)</f>
        <v>6673.37</v>
      </c>
    </row>
    <row r="76" spans="2:14" ht="25.5" x14ac:dyDescent="0.25">
      <c r="B76" s="7" t="s">
        <v>274</v>
      </c>
      <c r="C76" s="7" t="s">
        <v>123</v>
      </c>
      <c r="D76" s="7">
        <v>98555</v>
      </c>
      <c r="E76" s="18" t="str">
        <f>IFERROR(VLOOKUP($B76,Quantitativos!$B$9:F5202,2,0),"-")</f>
        <v>IMPERMEABILIZAÇÃO DE SUPERFÍCIE COM ARGAMASSA POLIMÉRICA / MEMBRANA ACRÍLICA, 3 DEMÃOS</v>
      </c>
      <c r="F76" s="29">
        <f>IFERROR(VLOOKUP($B76,Quantitativos!$B$9:F5202,3,0),"-")</f>
        <v>31.020000000000003</v>
      </c>
      <c r="G76" s="7" t="str">
        <f>IFERROR(VLOOKUP($B76,Quantitativos!$B$9:F5202,4,0),"-")</f>
        <v>M2</v>
      </c>
      <c r="H76" s="21">
        <v>14.78</v>
      </c>
      <c r="I76" s="21">
        <v>13.39</v>
      </c>
      <c r="J76" s="21">
        <f t="shared" ref="J76" si="54">IFERROR(H76+I76,0)</f>
        <v>28.17</v>
      </c>
      <c r="K76" s="30">
        <f>$C$197</f>
        <v>0.23810000000000001</v>
      </c>
      <c r="L76" s="21">
        <f t="shared" ref="L76" si="55">IFERROR(TRUNC((1+$K76)*$F76*H76,2),0)</f>
        <v>567.63</v>
      </c>
      <c r="M76" s="21">
        <f t="shared" ref="M76" si="56">IFERROR(TRUNC((1+$K76)*$F76*I76,2),0)</f>
        <v>514.25</v>
      </c>
      <c r="N76" s="21">
        <f t="shared" ref="N76" si="57">IFERROR(L76+M76,0)</f>
        <v>1081.8800000000001</v>
      </c>
    </row>
    <row r="77" spans="2:14" x14ac:dyDescent="0.25">
      <c r="B77" s="64" t="s">
        <v>610</v>
      </c>
      <c r="C77" s="64"/>
      <c r="D77" s="64"/>
      <c r="E77" s="64"/>
      <c r="F77" s="64"/>
      <c r="G77" s="64"/>
      <c r="H77" s="64"/>
      <c r="I77" s="64"/>
      <c r="J77" s="64"/>
      <c r="K77" s="64"/>
      <c r="L77" s="31">
        <f>SUM(L75:L76)</f>
        <v>5835.45</v>
      </c>
      <c r="M77" s="31">
        <f>SUM(M75:M76)</f>
        <v>1919.8</v>
      </c>
      <c r="N77" s="31">
        <f>SUM(N75:N76)</f>
        <v>7755.25</v>
      </c>
    </row>
    <row r="78" spans="2:14" x14ac:dyDescent="0.25">
      <c r="B78" s="28">
        <v>9</v>
      </c>
      <c r="C78" s="62" t="s">
        <v>61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3"/>
    </row>
    <row r="79" spans="2:14" x14ac:dyDescent="0.25">
      <c r="B79" s="7" t="s">
        <v>311</v>
      </c>
      <c r="C79" s="7" t="s">
        <v>123</v>
      </c>
      <c r="D79" s="7">
        <v>88415</v>
      </c>
      <c r="E79" s="18" t="str">
        <f>IFERROR(VLOOKUP($B79,Quantitativos!$B$9:F5188,2,0),"-")</f>
        <v>APLICAÇÃO MANUAL DE FUNDO SELADOR ACRÍLICO EM PAREDES EXTERNAS DE CASAS</v>
      </c>
      <c r="F79" s="29">
        <f>IFERROR(VLOOKUP($B79,Quantitativos!$B$9:F5188,3,0),"-")</f>
        <v>530</v>
      </c>
      <c r="G79" s="7" t="str">
        <f>IFERROR(VLOOKUP($B79,Quantitativos!$B$9:F5188,4,0),"-")</f>
        <v>M2</v>
      </c>
      <c r="H79" s="21">
        <v>1.76</v>
      </c>
      <c r="I79" s="21">
        <v>1.31</v>
      </c>
      <c r="J79" s="21">
        <f t="shared" ref="J79:J90" si="58">IFERROR(H79+I79,0)</f>
        <v>3.0700000000000003</v>
      </c>
      <c r="K79" s="30">
        <f t="shared" ref="K79:K90" si="59">$C$197</f>
        <v>0.23810000000000001</v>
      </c>
      <c r="L79" s="21">
        <f t="shared" ref="L79:L90" si="60">IFERROR(TRUNC((1+$K79)*$F79*H79,2),0)</f>
        <v>1154.8900000000001</v>
      </c>
      <c r="M79" s="21">
        <f t="shared" ref="M79:M90" si="61">IFERROR(TRUNC((1+$K79)*$F79*I79,2),0)</f>
        <v>859.61</v>
      </c>
      <c r="N79" s="21">
        <f t="shared" ref="N79:N90" si="62">IFERROR(L79+M79,0)</f>
        <v>2014.5</v>
      </c>
    </row>
    <row r="80" spans="2:14" x14ac:dyDescent="0.25">
      <c r="B80" s="7" t="s">
        <v>312</v>
      </c>
      <c r="C80" s="7" t="s">
        <v>123</v>
      </c>
      <c r="D80" s="7">
        <v>88484</v>
      </c>
      <c r="E80" s="18" t="str">
        <f>IFERROR(VLOOKUP($B80,Quantitativos!$B$9:F5189,2,0),"-")</f>
        <v>FUNDO SELADOR ACRÍLICO, APLICAÇÃO MANUAL EM TETO, UMA DEMÃO</v>
      </c>
      <c r="F80" s="29">
        <f>IFERROR(VLOOKUP($B80,Quantitativos!$B$9:F5189,3,0),"-")</f>
        <v>460</v>
      </c>
      <c r="G80" s="7" t="str">
        <f>IFERROR(VLOOKUP($B80,Quantitativos!$B$9:F5189,4,0),"-")</f>
        <v>M2</v>
      </c>
      <c r="H80" s="21">
        <v>2.14</v>
      </c>
      <c r="I80" s="21">
        <v>2.39</v>
      </c>
      <c r="J80" s="21">
        <f t="shared" si="58"/>
        <v>4.53</v>
      </c>
      <c r="K80" s="30">
        <f t="shared" si="59"/>
        <v>0.23810000000000001</v>
      </c>
      <c r="L80" s="21">
        <f t="shared" si="60"/>
        <v>1218.78</v>
      </c>
      <c r="M80" s="21">
        <f t="shared" si="61"/>
        <v>1361.16</v>
      </c>
      <c r="N80" s="21">
        <f t="shared" si="62"/>
        <v>2579.94</v>
      </c>
    </row>
    <row r="81" spans="2:14" x14ac:dyDescent="0.25">
      <c r="B81" s="7" t="s">
        <v>313</v>
      </c>
      <c r="C81" s="7" t="s">
        <v>123</v>
      </c>
      <c r="D81" s="7">
        <v>88485</v>
      </c>
      <c r="E81" s="18" t="str">
        <f>IFERROR(VLOOKUP($B81,Quantitativos!$B$9:F5190,2,0),"-")</f>
        <v>FUNDO SELADOR ACRÍLICO, APLICAÇÃO MANUAL EM PAREDE, UMA DEMÃO</v>
      </c>
      <c r="F81" s="29">
        <f>IFERROR(VLOOKUP($B81,Quantitativos!$B$9:F5190,3,0),"-")</f>
        <v>904.15999999999985</v>
      </c>
      <c r="G81" s="7" t="str">
        <f>IFERROR(VLOOKUP($B81,Quantitativos!$B$9:F5190,4,0),"-")</f>
        <v>M2</v>
      </c>
      <c r="H81" s="21">
        <v>1.94</v>
      </c>
      <c r="I81" s="21">
        <v>1.7</v>
      </c>
      <c r="J81" s="21">
        <f t="shared" si="58"/>
        <v>3.6399999999999997</v>
      </c>
      <c r="K81" s="30">
        <f t="shared" si="59"/>
        <v>0.23810000000000001</v>
      </c>
      <c r="L81" s="21">
        <f t="shared" si="60"/>
        <v>2171.71</v>
      </c>
      <c r="M81" s="21">
        <f t="shared" si="61"/>
        <v>1903.04</v>
      </c>
      <c r="N81" s="21">
        <f t="shared" si="62"/>
        <v>4074.75</v>
      </c>
    </row>
    <row r="82" spans="2:14" ht="25.5" x14ac:dyDescent="0.25">
      <c r="B82" s="7" t="s">
        <v>314</v>
      </c>
      <c r="C82" s="7" t="s">
        <v>123</v>
      </c>
      <c r="D82" s="7">
        <v>88494</v>
      </c>
      <c r="E82" s="18" t="str">
        <f>IFERROR(VLOOKUP($B82,Quantitativos!$B$9:F5191,2,0),"-")</f>
        <v>EMASSAMENTO COM MASSA LÁTEX, APLICAÇÃO EM TETO, UMA DEMÃO, LIXAMENTO MANUAL</v>
      </c>
      <c r="F82" s="29">
        <f>IFERROR(VLOOKUP($B82,Quantitativos!$B$9:F5191,3,0),"-")</f>
        <v>460</v>
      </c>
      <c r="G82" s="7" t="str">
        <f>IFERROR(VLOOKUP($B82,Quantitativos!$B$9:F5191,4,0),"-")</f>
        <v>M2</v>
      </c>
      <c r="H82" s="21">
        <v>7.85</v>
      </c>
      <c r="I82" s="21">
        <v>12.9</v>
      </c>
      <c r="J82" s="21">
        <f t="shared" si="58"/>
        <v>20.75</v>
      </c>
      <c r="K82" s="30">
        <f t="shared" si="59"/>
        <v>0.23810000000000001</v>
      </c>
      <c r="L82" s="21">
        <f t="shared" si="60"/>
        <v>4470.7700000000004</v>
      </c>
      <c r="M82" s="21">
        <f t="shared" si="61"/>
        <v>7346.88</v>
      </c>
      <c r="N82" s="21">
        <f t="shared" si="62"/>
        <v>11817.650000000001</v>
      </c>
    </row>
    <row r="83" spans="2:14" ht="25.5" x14ac:dyDescent="0.25">
      <c r="B83" s="7" t="s">
        <v>315</v>
      </c>
      <c r="C83" s="7" t="s">
        <v>123</v>
      </c>
      <c r="D83" s="7">
        <v>88497</v>
      </c>
      <c r="E83" s="18" t="str">
        <f>IFERROR(VLOOKUP($B83,Quantitativos!$B$9:F5192,2,0),"-")</f>
        <v>EMASSAMENTO COM MASSA LÁTEX, APLICAÇÃO EM PAREDE, DUAS DEMÃOS, LIXAMENTO MANUAL</v>
      </c>
      <c r="F83" s="29">
        <f>IFERROR(VLOOKUP($B83,Quantitativos!$B$9:F5192,3,0),"-")</f>
        <v>904.15999999999985</v>
      </c>
      <c r="G83" s="7" t="str">
        <f>IFERROR(VLOOKUP($B83,Quantitativos!$B$9:F5192,4,0),"-")</f>
        <v>M2</v>
      </c>
      <c r="H83" s="21">
        <v>9.6</v>
      </c>
      <c r="I83" s="21">
        <v>9.1999999999999993</v>
      </c>
      <c r="J83" s="21">
        <f t="shared" si="58"/>
        <v>18.799999999999997</v>
      </c>
      <c r="K83" s="30">
        <f t="shared" si="59"/>
        <v>0.23810000000000001</v>
      </c>
      <c r="L83" s="21">
        <f t="shared" si="60"/>
        <v>10746.62</v>
      </c>
      <c r="M83" s="21">
        <f t="shared" si="61"/>
        <v>10298.85</v>
      </c>
      <c r="N83" s="21">
        <f t="shared" si="62"/>
        <v>21045.47</v>
      </c>
    </row>
    <row r="84" spans="2:14" x14ac:dyDescent="0.25">
      <c r="B84" s="7" t="s">
        <v>316</v>
      </c>
      <c r="C84" s="7" t="s">
        <v>123</v>
      </c>
      <c r="D84" s="7">
        <v>104640</v>
      </c>
      <c r="E84" s="18" t="str">
        <f>IFERROR(VLOOKUP($B84,Quantitativos!$B$9:F5193,2,0),"-")</f>
        <v>PINTURA LÁTEX ACRÍLICA STANDARD, APLICAÇÃO MANUAL EM TETO, DUAS DEMÃOS</v>
      </c>
      <c r="F84" s="29">
        <f>IFERROR(VLOOKUP($B84,Quantitativos!$B$9:F5193,3,0),"-")</f>
        <v>460</v>
      </c>
      <c r="G84" s="7" t="str">
        <f>IFERROR(VLOOKUP($B84,Quantitativos!$B$9:F5193,4,0),"-")</f>
        <v>M2</v>
      </c>
      <c r="H84" s="21">
        <v>7.02</v>
      </c>
      <c r="I84" s="21">
        <v>5.79</v>
      </c>
      <c r="J84" s="21">
        <f t="shared" si="58"/>
        <v>12.809999999999999</v>
      </c>
      <c r="K84" s="30">
        <f t="shared" si="59"/>
        <v>0.23810000000000001</v>
      </c>
      <c r="L84" s="21">
        <f t="shared" si="60"/>
        <v>3998.07</v>
      </c>
      <c r="M84" s="21">
        <f t="shared" si="61"/>
        <v>3297.55</v>
      </c>
      <c r="N84" s="21">
        <f t="shared" si="62"/>
        <v>7295.6200000000008</v>
      </c>
    </row>
    <row r="85" spans="2:14" x14ac:dyDescent="0.25">
      <c r="B85" s="7" t="s">
        <v>317</v>
      </c>
      <c r="C85" s="7" t="s">
        <v>123</v>
      </c>
      <c r="D85" s="7">
        <v>104642</v>
      </c>
      <c r="E85" s="18" t="str">
        <f>IFERROR(VLOOKUP($B85,Quantitativos!$B$9:F5194,2,0),"-")</f>
        <v>PINTURA LÁTEX ACRÍLICA STANDARD, APLICAÇÃO MANUAL EM PAREDES, DUAS DEMÃOS</v>
      </c>
      <c r="F85" s="29">
        <f>IFERROR(VLOOKUP($B85,Quantitativos!$B$9:F5194,3,0),"-")</f>
        <v>1434.1599999999999</v>
      </c>
      <c r="G85" s="7" t="str">
        <f>IFERROR(VLOOKUP($B85,Quantitativos!$B$9:F5194,4,0),"-")</f>
        <v>M2</v>
      </c>
      <c r="H85" s="21">
        <v>6.47</v>
      </c>
      <c r="I85" s="21">
        <v>4.1500000000000004</v>
      </c>
      <c r="J85" s="21">
        <f t="shared" si="58"/>
        <v>10.620000000000001</v>
      </c>
      <c r="K85" s="30">
        <f t="shared" si="59"/>
        <v>0.23810000000000001</v>
      </c>
      <c r="L85" s="21">
        <f t="shared" si="60"/>
        <v>11488.34</v>
      </c>
      <c r="M85" s="21">
        <f t="shared" si="61"/>
        <v>7368.87</v>
      </c>
      <c r="N85" s="21">
        <f t="shared" si="62"/>
        <v>18857.21</v>
      </c>
    </row>
    <row r="86" spans="2:14" x14ac:dyDescent="0.25">
      <c r="B86" s="7" t="s">
        <v>318</v>
      </c>
      <c r="C86" s="7" t="s">
        <v>123</v>
      </c>
      <c r="D86" s="7">
        <v>100717</v>
      </c>
      <c r="E86" s="18" t="str">
        <f>IFERROR(VLOOKUP($B86,Quantitativos!$B$9:F5195,2,0),"-")</f>
        <v>LIXAMENTO MANUAL EM SUPERFÍCIES METÁLICAS EM OBRA</v>
      </c>
      <c r="F86" s="29">
        <f>IFERROR(VLOOKUP($B86,Quantitativos!$B$9:F5195,3,0),"-")</f>
        <v>1.4901987672670505</v>
      </c>
      <c r="G86" s="7" t="str">
        <f>IFERROR(VLOOKUP($B86,Quantitativos!$B$9:F5195,4,0),"-")</f>
        <v>M2</v>
      </c>
      <c r="H86" s="21">
        <v>3.48</v>
      </c>
      <c r="I86" s="21">
        <v>6.02</v>
      </c>
      <c r="J86" s="21">
        <f t="shared" si="58"/>
        <v>9.5</v>
      </c>
      <c r="K86" s="30">
        <f t="shared" si="59"/>
        <v>0.23810000000000001</v>
      </c>
      <c r="L86" s="21">
        <f t="shared" si="60"/>
        <v>6.42</v>
      </c>
      <c r="M86" s="21">
        <f t="shared" si="61"/>
        <v>11.1</v>
      </c>
      <c r="N86" s="21">
        <f t="shared" si="62"/>
        <v>17.52</v>
      </c>
    </row>
    <row r="87" spans="2:14" ht="25.5" x14ac:dyDescent="0.25">
      <c r="B87" s="7" t="s">
        <v>319</v>
      </c>
      <c r="C87" s="7" t="s">
        <v>123</v>
      </c>
      <c r="D87" s="7">
        <v>100722</v>
      </c>
      <c r="E87" s="18" t="str">
        <f>IFERROR(VLOOKUP($B87,Quantitativos!$B$9:F5196,2,0),"-")</f>
        <v>PINTURA COM TINTA ALQUÍDICA DE FUNDO (TIPO ZARCÃO) APLICADA A ROLO OU PINCEL SOBRE SUPERFÍCIES METÁLICAS (EXCETO PERFIL) EXECUTADO EM OBRA (POR DEMÃO)</v>
      </c>
      <c r="F87" s="29">
        <f>IFERROR(VLOOKUP($B87,Quantitativos!$B$9:F5196,3,0),"-")</f>
        <v>1.4901987672670505</v>
      </c>
      <c r="G87" s="7" t="str">
        <f>IFERROR(VLOOKUP($B87,Quantitativos!$B$9:F5196,4,0),"-")</f>
        <v>M2</v>
      </c>
      <c r="H87" s="21">
        <v>9.5</v>
      </c>
      <c r="I87" s="21">
        <v>13.68</v>
      </c>
      <c r="J87" s="21">
        <f t="shared" si="58"/>
        <v>23.18</v>
      </c>
      <c r="K87" s="30">
        <f t="shared" si="59"/>
        <v>0.23810000000000001</v>
      </c>
      <c r="L87" s="21">
        <f t="shared" si="60"/>
        <v>17.52</v>
      </c>
      <c r="M87" s="21">
        <f t="shared" si="61"/>
        <v>25.23</v>
      </c>
      <c r="N87" s="21">
        <f t="shared" si="62"/>
        <v>42.75</v>
      </c>
    </row>
    <row r="88" spans="2:14" ht="38.25" x14ac:dyDescent="0.25">
      <c r="B88" s="7" t="s">
        <v>320</v>
      </c>
      <c r="C88" s="7" t="s">
        <v>123</v>
      </c>
      <c r="D88" s="7">
        <v>100758</v>
      </c>
      <c r="E88" s="18" t="str">
        <f>IFERROR(VLOOKUP($B88,Quantitativos!$B$9:F5197,2,0),"-")</f>
        <v>PINTURA COM TINTA ALQUÍDICA DE ACABAMENTO (ESMALTE SINTÉTICO ACETINADO) APLICADA A ROLO OU PINCEL SOBRE SUPERFÍCIES METÁLICAS (EXCETO PERFIL) EXECUTADO EM OBRA (02 DEMÃOS)</v>
      </c>
      <c r="F88" s="29">
        <f>IFERROR(VLOOKUP($B88,Quantitativos!$B$9:F5197,3,0),"-")</f>
        <v>1.4901987672670505</v>
      </c>
      <c r="G88" s="7" t="str">
        <f>IFERROR(VLOOKUP($B88,Quantitativos!$B$9:F5197,4,0),"-")</f>
        <v>M2</v>
      </c>
      <c r="H88" s="21">
        <v>20.170000000000002</v>
      </c>
      <c r="I88" s="21">
        <v>27.34</v>
      </c>
      <c r="J88" s="21">
        <f t="shared" si="58"/>
        <v>47.510000000000005</v>
      </c>
      <c r="K88" s="30">
        <f t="shared" si="59"/>
        <v>0.23810000000000001</v>
      </c>
      <c r="L88" s="21">
        <f t="shared" si="60"/>
        <v>37.21</v>
      </c>
      <c r="M88" s="21">
        <f t="shared" si="61"/>
        <v>50.44</v>
      </c>
      <c r="N88" s="21">
        <f t="shared" si="62"/>
        <v>87.65</v>
      </c>
    </row>
    <row r="89" spans="2:14" x14ac:dyDescent="0.25">
      <c r="B89" s="7" t="s">
        <v>321</v>
      </c>
      <c r="C89" s="7" t="s">
        <v>123</v>
      </c>
      <c r="D89" s="7">
        <v>102193</v>
      </c>
      <c r="E89" s="18" t="str">
        <f>IFERROR(VLOOKUP($B89,Quantitativos!$B$9:F5198,2,0),"-")</f>
        <v>LIXAMENTO DE MADEIRA PARA APLICAÇÃO DE FUNDO OU PINTURA</v>
      </c>
      <c r="F89" s="29">
        <f>IFERROR(VLOOKUP($B89,Quantitativos!$B$9:F5198,3,0),"-")</f>
        <v>103.32</v>
      </c>
      <c r="G89" s="7" t="str">
        <f>IFERROR(VLOOKUP($B89,Quantitativos!$B$9:F5198,4,0),"-")</f>
        <v>M2</v>
      </c>
      <c r="H89" s="21">
        <v>1</v>
      </c>
      <c r="I89" s="21">
        <v>1.1000000000000001</v>
      </c>
      <c r="J89" s="21">
        <f t="shared" si="58"/>
        <v>2.1</v>
      </c>
      <c r="K89" s="30">
        <f t="shared" si="59"/>
        <v>0.23810000000000001</v>
      </c>
      <c r="L89" s="21">
        <f t="shared" si="60"/>
        <v>127.92</v>
      </c>
      <c r="M89" s="21">
        <f t="shared" si="61"/>
        <v>140.71</v>
      </c>
      <c r="N89" s="21">
        <f t="shared" si="62"/>
        <v>268.63</v>
      </c>
    </row>
    <row r="90" spans="2:14" ht="25.5" x14ac:dyDescent="0.25">
      <c r="B90" s="7" t="s">
        <v>322</v>
      </c>
      <c r="C90" s="7" t="s">
        <v>123</v>
      </c>
      <c r="D90" s="7">
        <v>102220</v>
      </c>
      <c r="E90" s="18" t="str">
        <f>IFERROR(VLOOKUP($B90,Quantitativos!$B$9:F5191,2,0),"-")</f>
        <v>PINTURA TINTA DE ACABAMENTO (PIGMENTADA) ESMALTE SINTÉTICO BRILHANTE EM MADEIRA, 2 DEMÃOS</v>
      </c>
      <c r="F90" s="29">
        <f>IFERROR(VLOOKUP($B90,Quantitativos!$B$9:F5191,3,0),"-")</f>
        <v>103.32</v>
      </c>
      <c r="G90" s="7" t="str">
        <f>IFERROR(VLOOKUP($B90,Quantitativos!$B$9:F5191,4,0),"-")</f>
        <v>M2</v>
      </c>
      <c r="H90" s="21">
        <v>7.79</v>
      </c>
      <c r="I90" s="21">
        <v>7.67</v>
      </c>
      <c r="J90" s="21">
        <f t="shared" si="58"/>
        <v>15.46</v>
      </c>
      <c r="K90" s="30">
        <f t="shared" si="59"/>
        <v>0.23810000000000001</v>
      </c>
      <c r="L90" s="21">
        <f t="shared" si="60"/>
        <v>996.5</v>
      </c>
      <c r="M90" s="21">
        <f t="shared" si="61"/>
        <v>981.15</v>
      </c>
      <c r="N90" s="21">
        <f t="shared" si="62"/>
        <v>1977.65</v>
      </c>
    </row>
    <row r="91" spans="2:14" x14ac:dyDescent="0.25">
      <c r="B91" s="64" t="s">
        <v>611</v>
      </c>
      <c r="C91" s="64"/>
      <c r="D91" s="64"/>
      <c r="E91" s="64"/>
      <c r="F91" s="64"/>
      <c r="G91" s="64"/>
      <c r="H91" s="64"/>
      <c r="I91" s="64"/>
      <c r="J91" s="64"/>
      <c r="K91" s="64"/>
      <c r="L91" s="31">
        <f>SUM(L79:L90)</f>
        <v>36434.75</v>
      </c>
      <c r="M91" s="31">
        <f>SUM(M79:M90)</f>
        <v>33644.589999999997</v>
      </c>
      <c r="N91" s="31">
        <f>SUM(N79:N90)</f>
        <v>70079.340000000011</v>
      </c>
    </row>
    <row r="92" spans="2:14" x14ac:dyDescent="0.25">
      <c r="B92" s="28">
        <v>10</v>
      </c>
      <c r="C92" s="62" t="s">
        <v>310</v>
      </c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3"/>
    </row>
    <row r="93" spans="2:14" ht="15" customHeight="1" x14ac:dyDescent="0.25">
      <c r="B93" s="55" t="s">
        <v>328</v>
      </c>
      <c r="C93" s="60" t="s">
        <v>232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 ht="38.25" x14ac:dyDescent="0.25">
      <c r="B94" s="7" t="s">
        <v>332</v>
      </c>
      <c r="C94" s="7" t="s">
        <v>123</v>
      </c>
      <c r="D94" s="7">
        <v>87757</v>
      </c>
      <c r="E94" s="18" t="str">
        <f>IFERROR(VLOOKUP($B94,Quantitativos!$B$9:F5187,2,0),"-")</f>
        <v>CONTRAPISO EM ARGAMASSA TRAÇO 1:4 (CIMENTO E AREIA), PREPARO MANUAL, APLICADO EM ÁREAS MOLHADAS SOBRE IMPERMEABILIZAÇÃO, ACABAMENTO NÃO REFORÇADO, ESPESSURA 3CM</v>
      </c>
      <c r="F94" s="29">
        <f>IFERROR(VLOOKUP($B94,Quantitativos!$B$9:F5187,3,0),"-")</f>
        <v>250</v>
      </c>
      <c r="G94" s="7" t="str">
        <f>IFERROR(VLOOKUP($B94,Quantitativos!$B$9:F5187,4,0),"-")</f>
        <v>M2</v>
      </c>
      <c r="H94" s="21">
        <v>28.56</v>
      </c>
      <c r="I94" s="21">
        <v>24.23</v>
      </c>
      <c r="J94" s="21">
        <f t="shared" ref="J94:J96" si="63">IFERROR(H94+I94,0)</f>
        <v>52.79</v>
      </c>
      <c r="K94" s="30">
        <f>$C$197</f>
        <v>0.23810000000000001</v>
      </c>
      <c r="L94" s="21">
        <f t="shared" ref="L94:L96" si="64">IFERROR(TRUNC((1+$K94)*$F94*H94,2),0)</f>
        <v>8840.0300000000007</v>
      </c>
      <c r="M94" s="21">
        <f t="shared" ref="M94:M96" si="65">IFERROR(TRUNC((1+$K94)*$F94*I94,2),0)</f>
        <v>7499.79</v>
      </c>
      <c r="N94" s="21">
        <f t="shared" ref="N94:N96" si="66">IFERROR(L94+M94,0)</f>
        <v>16339.82</v>
      </c>
    </row>
    <row r="95" spans="2:14" ht="25.5" x14ac:dyDescent="0.25">
      <c r="B95" s="7" t="s">
        <v>333</v>
      </c>
      <c r="C95" s="7" t="s">
        <v>123</v>
      </c>
      <c r="D95" s="7">
        <v>87248</v>
      </c>
      <c r="E95" s="18" t="str">
        <f>IFERROR(VLOOKUP($B95,Quantitativos!$B$9:F5188,2,0),"-")</f>
        <v>REVESTIMENTO CERÂMICO PARA PISO COM PLACAS TIPO ESMALTADA EXTRA DE DIMENSÕES 35X35 CM APLICADA EM AMBIENTES DE ÁREA MAIOR QUE 10 M2</v>
      </c>
      <c r="F95" s="29">
        <f>IFERROR(VLOOKUP($B95,Quantitativos!$B$9:F5188,3,0),"-")</f>
        <v>480</v>
      </c>
      <c r="G95" s="7" t="str">
        <f>IFERROR(VLOOKUP($B95,Quantitativos!$B$9:F5188,4,0),"-")</f>
        <v>M2</v>
      </c>
      <c r="H95" s="21">
        <v>40.15</v>
      </c>
      <c r="I95" s="21">
        <v>6.9</v>
      </c>
      <c r="J95" s="21">
        <f t="shared" si="63"/>
        <v>47.05</v>
      </c>
      <c r="K95" s="30">
        <f>$C$197</f>
        <v>0.23810000000000001</v>
      </c>
      <c r="L95" s="21">
        <f t="shared" si="64"/>
        <v>23860.66</v>
      </c>
      <c r="M95" s="21">
        <f t="shared" si="65"/>
        <v>4100.58</v>
      </c>
      <c r="N95" s="21">
        <f t="shared" si="66"/>
        <v>27961.239999999998</v>
      </c>
    </row>
    <row r="96" spans="2:14" x14ac:dyDescent="0.25">
      <c r="B96" s="7" t="s">
        <v>334</v>
      </c>
      <c r="C96" s="7" t="s">
        <v>123</v>
      </c>
      <c r="D96" s="7">
        <v>98689</v>
      </c>
      <c r="E96" s="18" t="str">
        <f>IFERROR(VLOOKUP($B96,Quantitativos!$B$9:F5188,2,0),"-")</f>
        <v>SOLEIRA EM GRANITO, LARGURA 15 CM, ESPESSURA 2,0 CM</v>
      </c>
      <c r="F96" s="29">
        <f>IFERROR(VLOOKUP($B96,Quantitativos!$B$9:F5188,3,0),"-")</f>
        <v>3.6</v>
      </c>
      <c r="G96" s="7" t="str">
        <f>IFERROR(VLOOKUP($B96,Quantitativos!$B$9:F5188,4,0),"-")</f>
        <v>M</v>
      </c>
      <c r="H96" s="21">
        <v>83.17</v>
      </c>
      <c r="I96" s="21">
        <v>15.34</v>
      </c>
      <c r="J96" s="21">
        <f t="shared" si="63"/>
        <v>98.51</v>
      </c>
      <c r="K96" s="30">
        <f>$C$197</f>
        <v>0.23810000000000001</v>
      </c>
      <c r="L96" s="21">
        <f t="shared" si="64"/>
        <v>370.7</v>
      </c>
      <c r="M96" s="21">
        <f t="shared" si="65"/>
        <v>68.37</v>
      </c>
      <c r="N96" s="21">
        <f t="shared" si="66"/>
        <v>439.07</v>
      </c>
    </row>
    <row r="97" spans="2:14" ht="15" customHeight="1" x14ac:dyDescent="0.25">
      <c r="B97" s="55" t="s">
        <v>335</v>
      </c>
      <c r="C97" s="60" t="s">
        <v>245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2:14" ht="25.5" x14ac:dyDescent="0.25">
      <c r="B98" s="7" t="s">
        <v>336</v>
      </c>
      <c r="C98" s="7" t="s">
        <v>123</v>
      </c>
      <c r="D98" s="7">
        <v>94991</v>
      </c>
      <c r="E98" s="18" t="str">
        <f>IFERROR(VLOOKUP($B98,Quantitativos!$B$9:F5182,2,0),"-")</f>
        <v>EXECUÇÃO DE PASSEIO (CALÇADA) OU PISO DE CONCRETO COM CONCRETO MOLDADO IN LOCO, USINADO C20, ACABAMENTO CONVENCIONAL, NÃO ARMADO</v>
      </c>
      <c r="F98" s="29">
        <f>IFERROR(VLOOKUP($B98,Quantitativos!$B$9:F5182,3,0),"-")</f>
        <v>1.6</v>
      </c>
      <c r="G98" s="7" t="str">
        <f>IFERROR(VLOOKUP($B98,Quantitativos!$B$9:F5182,4,0),"-")</f>
        <v>M3</v>
      </c>
      <c r="H98" s="21">
        <v>640.16</v>
      </c>
      <c r="I98" s="21">
        <v>64.25</v>
      </c>
      <c r="J98" s="21">
        <f t="shared" ref="J98" si="67">IFERROR(H98+I98,0)</f>
        <v>704.41</v>
      </c>
      <c r="K98" s="30">
        <f>$C$197</f>
        <v>0.23810000000000001</v>
      </c>
      <c r="L98" s="21">
        <f t="shared" ref="L98" si="68">IFERROR(TRUNC((1+$K98)*$F98*H98,2),0)</f>
        <v>1268.1300000000001</v>
      </c>
      <c r="M98" s="21">
        <f t="shared" ref="M98" si="69">IFERROR(TRUNC((1+$K98)*$F98*I98,2),0)</f>
        <v>127.27</v>
      </c>
      <c r="N98" s="21">
        <f t="shared" ref="N98" si="70">IFERROR(L98+M98,0)</f>
        <v>1395.4</v>
      </c>
    </row>
    <row r="99" spans="2:14" x14ac:dyDescent="0.25">
      <c r="B99" s="64" t="s">
        <v>612</v>
      </c>
      <c r="C99" s="64"/>
      <c r="D99" s="64"/>
      <c r="E99" s="64"/>
      <c r="F99" s="64"/>
      <c r="G99" s="64"/>
      <c r="H99" s="64"/>
      <c r="I99" s="64"/>
      <c r="J99" s="64"/>
      <c r="K99" s="64"/>
      <c r="L99" s="31">
        <f>SUM(L94:L98)</f>
        <v>34339.519999999997</v>
      </c>
      <c r="M99" s="31">
        <f>SUM(M94:M98)</f>
        <v>11796.01</v>
      </c>
      <c r="N99" s="31">
        <f>SUM(N94:N98)</f>
        <v>46135.53</v>
      </c>
    </row>
    <row r="100" spans="2:14" x14ac:dyDescent="0.25">
      <c r="B100" s="28">
        <v>11</v>
      </c>
      <c r="C100" s="62" t="s">
        <v>337</v>
      </c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5" customHeight="1" x14ac:dyDescent="0.25">
      <c r="B101" s="55" t="s">
        <v>338</v>
      </c>
      <c r="C101" s="60" t="s">
        <v>339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</row>
    <row r="102" spans="2:14" ht="51" x14ac:dyDescent="0.25">
      <c r="B102" s="7" t="s">
        <v>344</v>
      </c>
      <c r="C102" s="7" t="s">
        <v>123</v>
      </c>
      <c r="D102" s="7">
        <v>90843</v>
      </c>
      <c r="E102" s="18" t="str">
        <f>IFERROR(VLOOKUP($B102,Quantitativos!$B$9:F5195,2,0),"-")</f>
        <v>KIT DE PORTA DE MADEIRA PARA PINTURA, SEMI-OCA (LEVE OU MÉDIA), PADRÃO MÉDIO, 80X210CM, ESPESSURA DE 3,5CM, ITENS INCLUSOS: DOBRADIÇAS, MONTAGEM E INSTALAÇÃO DO BATENTE, FECHADURA COM EXECUÇÃO DO FURO - FORNECIMENTO E INSTALAÇÃO</v>
      </c>
      <c r="F102" s="29">
        <f>IFERROR(VLOOKUP($B102,Quantitativos!$B$9:F5195,3,0),"-")</f>
        <v>2</v>
      </c>
      <c r="G102" s="7" t="str">
        <f>IFERROR(VLOOKUP($B102,Quantitativos!$B$9:F5195,4,0),"-")</f>
        <v>UND</v>
      </c>
      <c r="H102" s="21">
        <v>1140.99</v>
      </c>
      <c r="I102" s="21">
        <v>216.9</v>
      </c>
      <c r="J102" s="21">
        <f t="shared" ref="J102:J107" si="71">IFERROR(H102+I102,0)</f>
        <v>1357.89</v>
      </c>
      <c r="K102" s="30">
        <f>$C$197</f>
        <v>0.23810000000000001</v>
      </c>
      <c r="L102" s="21">
        <f t="shared" ref="L102:L107" si="72">IFERROR(TRUNC((1+$K102)*$F102*H102,2),0)</f>
        <v>2825.31</v>
      </c>
      <c r="M102" s="21">
        <f t="shared" ref="M102:M107" si="73">IFERROR(TRUNC((1+$K102)*$F102*I102,2),0)</f>
        <v>537.08000000000004</v>
      </c>
      <c r="N102" s="21">
        <f t="shared" ref="N102:N107" si="74">IFERROR(L102+M102,0)</f>
        <v>3362.39</v>
      </c>
    </row>
    <row r="103" spans="2:14" ht="51" x14ac:dyDescent="0.25">
      <c r="B103" s="7" t="s">
        <v>345</v>
      </c>
      <c r="C103" s="7" t="s">
        <v>123</v>
      </c>
      <c r="D103" s="7">
        <v>90844</v>
      </c>
      <c r="E103" s="18" t="str">
        <f>IFERROR(VLOOKUP($B103,Quantitativos!$B$9:F5196,2,0),"-")</f>
        <v>KIT DE PORTA DE MADEIRA PARA PINTURA, SEMI-OCA (LEVE OU MÉDIA), PADRÃO MÉDIO, 90X210CM, ESPESSURA DE 3,5CM, ITENS INCLUSOS: DOBRADIÇAS, MONTAGEM E INSTALAÇÃO DO BATENTE, FECHADURA COM EXECUÇÃO DO FURO - FORNECIMENTO E INSTALAÇÃO</v>
      </c>
      <c r="F103" s="29">
        <f>IFERROR(VLOOKUP($B103,Quantitativos!$B$9:F5196,3,0),"-")</f>
        <v>13</v>
      </c>
      <c r="G103" s="7" t="str">
        <f>IFERROR(VLOOKUP($B103,Quantitativos!$B$9:F5196,4,0),"-")</f>
        <v>UND</v>
      </c>
      <c r="H103" s="21">
        <v>1247.92</v>
      </c>
      <c r="I103" s="21">
        <v>220.8</v>
      </c>
      <c r="J103" s="21">
        <f t="shared" si="71"/>
        <v>1468.72</v>
      </c>
      <c r="K103" s="30">
        <f>$C$197</f>
        <v>0.23810000000000001</v>
      </c>
      <c r="L103" s="21">
        <f t="shared" si="72"/>
        <v>20085.64</v>
      </c>
      <c r="M103" s="21">
        <f t="shared" si="73"/>
        <v>3553.84</v>
      </c>
      <c r="N103" s="21">
        <f t="shared" si="74"/>
        <v>23639.48</v>
      </c>
    </row>
    <row r="104" spans="2:14" ht="15" customHeight="1" x14ac:dyDescent="0.25">
      <c r="B104" s="55" t="s">
        <v>351</v>
      </c>
      <c r="C104" s="60" t="s">
        <v>348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4" ht="25.5" x14ac:dyDescent="0.25">
      <c r="B105" s="7" t="s">
        <v>613</v>
      </c>
      <c r="C105" s="7" t="s">
        <v>123</v>
      </c>
      <c r="D105" s="7">
        <v>102183</v>
      </c>
      <c r="E105" s="18" t="str">
        <f>IFERROR(VLOOKUP($B105,Quantitativos!$B$9:F5196,2,0),"-")</f>
        <v>PORTA PIVOTANTE DE VIDRO TEMPERADO, 2 FOLHAS DE 90X210 CM, ESPESSURA DE 10MM, INCLUSIVE ACESSÓRIOS</v>
      </c>
      <c r="F105" s="29">
        <f>IFERROR(VLOOKUP($B105,Quantitativos!$B$9:F5196,3,0),"-")</f>
        <v>2</v>
      </c>
      <c r="G105" s="7" t="str">
        <f>IFERROR(VLOOKUP($B105,Quantitativos!$B$9:F5196,4,0),"-")</f>
        <v>UND</v>
      </c>
      <c r="H105" s="21">
        <v>1484.8</v>
      </c>
      <c r="I105" s="21">
        <v>136.08000000000001</v>
      </c>
      <c r="J105" s="21">
        <f t="shared" si="71"/>
        <v>1620.8799999999999</v>
      </c>
      <c r="K105" s="30">
        <f>$C$197</f>
        <v>0.23810000000000001</v>
      </c>
      <c r="L105" s="21">
        <f t="shared" si="72"/>
        <v>3676.66</v>
      </c>
      <c r="M105" s="21">
        <f t="shared" si="73"/>
        <v>336.96</v>
      </c>
      <c r="N105" s="21">
        <f t="shared" si="74"/>
        <v>4013.62</v>
      </c>
    </row>
    <row r="106" spans="2:14" ht="15" customHeight="1" x14ac:dyDescent="0.25">
      <c r="B106" s="55" t="s">
        <v>352</v>
      </c>
      <c r="C106" s="60" t="s">
        <v>353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2:14" ht="38.25" x14ac:dyDescent="0.25">
      <c r="B107" s="7" t="s">
        <v>366</v>
      </c>
      <c r="C107" s="7" t="s">
        <v>123</v>
      </c>
      <c r="D107" s="7">
        <v>94570</v>
      </c>
      <c r="E107" s="18" t="str">
        <f>IFERROR(VLOOKUP($B107,Quantitativos!$B$9:F5197,2,0),"-")</f>
        <v>JANELA DE ALUMÍNIO DE CORRER COM 2 FOLHAS PARA VIDROS, COM VIDROS, BATENTE, ACABAMENTO COM ACETATO OU BRILHANTE E FERRAGENS. EXCLUSIVE ALIZAR E CONTRAMARCO - FORNECIMENTO E INSTALAÇÃO</v>
      </c>
      <c r="F107" s="29">
        <f>IFERROR(VLOOKUP($B107,Quantitativos!$B$9:F5197,3,0),"-")</f>
        <v>46.8</v>
      </c>
      <c r="G107" s="7" t="str">
        <f>IFERROR(VLOOKUP($B107,Quantitativos!$B$9:F5197,4,0),"-")</f>
        <v>M2</v>
      </c>
      <c r="H107" s="21">
        <v>402.22</v>
      </c>
      <c r="I107" s="21">
        <v>14.64</v>
      </c>
      <c r="J107" s="21">
        <f t="shared" si="71"/>
        <v>416.86</v>
      </c>
      <c r="K107" s="30">
        <f>$C$197</f>
        <v>0.23810000000000001</v>
      </c>
      <c r="L107" s="21">
        <f t="shared" si="72"/>
        <v>23305.86</v>
      </c>
      <c r="M107" s="21">
        <f t="shared" si="73"/>
        <v>848.28</v>
      </c>
      <c r="N107" s="21">
        <f t="shared" si="74"/>
        <v>24154.14</v>
      </c>
    </row>
    <row r="108" spans="2:14" ht="25.5" x14ac:dyDescent="0.25">
      <c r="B108" s="7" t="s">
        <v>367</v>
      </c>
      <c r="C108" s="7" t="s">
        <v>123</v>
      </c>
      <c r="D108" s="7">
        <v>94569</v>
      </c>
      <c r="E108" s="18" t="str">
        <f>IFERROR(VLOOKUP($B108,Quantitativos!$B$9:F5198,2,0),"-")</f>
        <v>JANELA DE ALUMÍNIO TIPO MAXIM-AR, COM VIDROS, BATENTE E FERRAGENS. EXCLUSIVE ALIZAR, ACABAMENTO E CONTRAMARCO - FORNECIMENTO E INSTALAÇÃO</v>
      </c>
      <c r="F108" s="29">
        <f>IFERROR(VLOOKUP($B108,Quantitativos!$B$9:F5198,3,0),"-")</f>
        <v>3</v>
      </c>
      <c r="G108" s="7" t="str">
        <f>IFERROR(VLOOKUP($B108,Quantitativos!$B$9:F5198,4,0),"-")</f>
        <v>M2</v>
      </c>
      <c r="H108" s="21">
        <v>750.66</v>
      </c>
      <c r="I108" s="21">
        <v>48.23</v>
      </c>
      <c r="J108" s="21">
        <f t="shared" ref="J108:J111" si="75">IFERROR(H108+I108,0)</f>
        <v>798.89</v>
      </c>
      <c r="K108" s="30">
        <f>$C$197</f>
        <v>0.23810000000000001</v>
      </c>
      <c r="L108" s="21">
        <f t="shared" ref="L108:L111" si="76">IFERROR(TRUNC((1+$K108)*$F108*H108,2),0)</f>
        <v>2788.17</v>
      </c>
      <c r="M108" s="21">
        <f t="shared" ref="M108:M111" si="77">IFERROR(TRUNC((1+$K108)*$F108*I108,2),0)</f>
        <v>179.14</v>
      </c>
      <c r="N108" s="21">
        <f t="shared" ref="N108:N111" si="78">IFERROR(L108+M108,0)</f>
        <v>2967.31</v>
      </c>
    </row>
    <row r="109" spans="2:14" ht="25.5" x14ac:dyDescent="0.25">
      <c r="B109" s="7" t="s">
        <v>368</v>
      </c>
      <c r="C109" s="7" t="s">
        <v>123</v>
      </c>
      <c r="D109" s="7">
        <v>94590</v>
      </c>
      <c r="E109" s="18" t="str">
        <f>IFERROR(VLOOKUP($B109,Quantitativos!$B$9:F5199,2,0),"-")</f>
        <v>CONTRAMARCO DE ALUMÍNIO, FIXAÇÃO COM PARAFUSO - FORNECIMENTO E INSTALAÇÃO</v>
      </c>
      <c r="F109" s="29">
        <f>IFERROR(VLOOKUP($B109,Quantitativos!$B$9:F5199,3,0),"-")</f>
        <v>156.4</v>
      </c>
      <c r="G109" s="7" t="str">
        <f>IFERROR(VLOOKUP($B109,Quantitativos!$B$9:F5199,4,0),"-")</f>
        <v>M</v>
      </c>
      <c r="H109" s="21">
        <v>16.07</v>
      </c>
      <c r="I109" s="21">
        <v>4.28</v>
      </c>
      <c r="J109" s="21">
        <f t="shared" si="75"/>
        <v>20.350000000000001</v>
      </c>
      <c r="K109" s="30">
        <f>$C$197</f>
        <v>0.23810000000000001</v>
      </c>
      <c r="L109" s="21">
        <f t="shared" si="76"/>
        <v>3111.77</v>
      </c>
      <c r="M109" s="21">
        <f t="shared" si="77"/>
        <v>828.77</v>
      </c>
      <c r="N109" s="21">
        <f t="shared" si="78"/>
        <v>3940.54</v>
      </c>
    </row>
    <row r="110" spans="2:14" ht="25.5" x14ac:dyDescent="0.25">
      <c r="B110" s="7" t="s">
        <v>369</v>
      </c>
      <c r="C110" s="7" t="s">
        <v>626</v>
      </c>
      <c r="D110" s="7" t="str">
        <f>IFERROR(IF($C110="PRÓPRIA",VLOOKUP($E110,CPU!$C$9:Q5100,15,0),0),"-")</f>
        <v>CP-05</v>
      </c>
      <c r="E110" s="18" t="str">
        <f>IFERROR(VLOOKUP($B110,Quantitativos!$B$9:F5200,2,0),"-")</f>
        <v>GUARNIÇÃO PARA ACABAMENTO DE ESQUADRIA DE ALUMÍNIO. ACABAMENTE CONFORME ESQUADRIA - FORNECIMENTO E INSTALAÇÃO</v>
      </c>
      <c r="F110" s="29">
        <f>IFERROR(VLOOKUP($B110,Quantitativos!$B$9:F5200,3,0),"-")</f>
        <v>156.4</v>
      </c>
      <c r="G110" s="7" t="str">
        <f>IFERROR(VLOOKUP($B110,Quantitativos!$B$9:F5200,4,0),"-")</f>
        <v>M</v>
      </c>
      <c r="H110" s="21">
        <f>IFERROR(IF($C110="PRÓPRIA",VLOOKUP($E110,CPU!$C$9:Q5110,7,0),0),0)</f>
        <v>67.02</v>
      </c>
      <c r="I110" s="21">
        <f>IFERROR(IF($C110="PRÓPRIA",VLOOKUP($E110,CPU!$C$9:Q5110,13,0),0),0)</f>
        <v>28.88</v>
      </c>
      <c r="J110" s="21">
        <f t="shared" si="75"/>
        <v>95.899999999999991</v>
      </c>
      <c r="K110" s="30">
        <f>$C$197</f>
        <v>0.23810000000000001</v>
      </c>
      <c r="L110" s="21">
        <f t="shared" si="76"/>
        <v>12977.67</v>
      </c>
      <c r="M110" s="21">
        <f t="shared" si="77"/>
        <v>5592.28</v>
      </c>
      <c r="N110" s="21">
        <f t="shared" si="78"/>
        <v>18569.95</v>
      </c>
    </row>
    <row r="111" spans="2:14" ht="25.5" x14ac:dyDescent="0.25">
      <c r="B111" s="7" t="s">
        <v>370</v>
      </c>
      <c r="C111" s="7" t="s">
        <v>123</v>
      </c>
      <c r="D111" s="7">
        <v>91341</v>
      </c>
      <c r="E111" s="18" t="str">
        <f>IFERROR(VLOOKUP($B111,Quantitativos!$B$9:F5201,2,0),"-")</f>
        <v>PORTA EM ALUMÍNIO DE ABRIR TIPO VENEZIANA COM GUARNIÇÃO, FIXAÇÃO COM PARAFUSOS - FORNECIMENTO E INSTALAÇÃO</v>
      </c>
      <c r="F111" s="29">
        <f>IFERROR(VLOOKUP($B111,Quantitativos!$B$9:F5201,3,0),"-")</f>
        <v>0.48</v>
      </c>
      <c r="G111" s="7" t="str">
        <f>IFERROR(VLOOKUP($B111,Quantitativos!$B$9:F5201,4,0),"-")</f>
        <v>M2</v>
      </c>
      <c r="H111" s="21">
        <v>800.88</v>
      </c>
      <c r="I111" s="21">
        <v>10.79</v>
      </c>
      <c r="J111" s="21">
        <f t="shared" si="75"/>
        <v>811.67</v>
      </c>
      <c r="K111" s="30">
        <f>$C$197</f>
        <v>0.23810000000000001</v>
      </c>
      <c r="L111" s="21">
        <f t="shared" si="76"/>
        <v>475.95</v>
      </c>
      <c r="M111" s="21">
        <f t="shared" si="77"/>
        <v>6.41</v>
      </c>
      <c r="N111" s="21">
        <f t="shared" si="78"/>
        <v>482.36</v>
      </c>
    </row>
    <row r="112" spans="2:14" ht="15" customHeight="1" x14ac:dyDescent="0.25">
      <c r="B112" s="55" t="s">
        <v>371</v>
      </c>
      <c r="C112" s="60" t="s">
        <v>373</v>
      </c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2:14" x14ac:dyDescent="0.25">
      <c r="B113" s="7" t="s">
        <v>372</v>
      </c>
      <c r="C113" s="7" t="s">
        <v>123</v>
      </c>
      <c r="D113" s="7">
        <v>99855</v>
      </c>
      <c r="E113" s="18" t="str">
        <f>IFERROR(VLOOKUP($B113,Quantitativos!$B$9:F5190,2,0),"-")</f>
        <v>CORRIMÃO, DIÂMETRO EXTERNO = 1 1/2", EM AÇO GALVANIZADO</v>
      </c>
      <c r="F113" s="29">
        <f>IFERROR(VLOOKUP($B113,Quantitativos!$B$9:F5190,3,0),"-")</f>
        <v>8.3000000000000007</v>
      </c>
      <c r="G113" s="7" t="str">
        <f>IFERROR(VLOOKUP($B113,Quantitativos!$B$9:F5190,4,0),"-")</f>
        <v>M</v>
      </c>
      <c r="H113" s="21">
        <v>76.180000000000007</v>
      </c>
      <c r="I113" s="21">
        <v>32.270000000000003</v>
      </c>
      <c r="J113" s="21">
        <f t="shared" ref="J113" si="79">IFERROR(H113+I113,0)</f>
        <v>108.45000000000002</v>
      </c>
      <c r="K113" s="30">
        <f>$C$197</f>
        <v>0.23810000000000001</v>
      </c>
      <c r="L113" s="21">
        <f t="shared" ref="L113" si="80">IFERROR(TRUNC((1+$K113)*$F113*H113,2),0)</f>
        <v>782.84</v>
      </c>
      <c r="M113" s="21">
        <f t="shared" ref="M113" si="81">IFERROR(TRUNC((1+$K113)*$F113*I113,2),0)</f>
        <v>331.61</v>
      </c>
      <c r="N113" s="21">
        <f t="shared" ref="N113" si="82">IFERROR(L113+M113,0)</f>
        <v>1114.45</v>
      </c>
    </row>
    <row r="114" spans="2:14" x14ac:dyDescent="0.25">
      <c r="B114" s="64" t="s">
        <v>614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31">
        <f>SUM(L102:L113)</f>
        <v>70029.87</v>
      </c>
      <c r="M114" s="31">
        <f>SUM(M102:M113)</f>
        <v>12214.369999999999</v>
      </c>
      <c r="N114" s="31">
        <f>SUM(N102:N113)</f>
        <v>82244.239999999991</v>
      </c>
    </row>
    <row r="115" spans="2:14" x14ac:dyDescent="0.25">
      <c r="B115" s="28">
        <v>12</v>
      </c>
      <c r="C115" s="62" t="s">
        <v>376</v>
      </c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3"/>
    </row>
    <row r="116" spans="2:14" ht="15" customHeight="1" x14ac:dyDescent="0.25">
      <c r="B116" s="55" t="s">
        <v>346</v>
      </c>
      <c r="C116" s="60" t="s">
        <v>377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2:14" ht="38.25" x14ac:dyDescent="0.25">
      <c r="B117" s="7" t="s">
        <v>347</v>
      </c>
      <c r="C117" s="7" t="s">
        <v>123</v>
      </c>
      <c r="D117" s="7">
        <v>86932</v>
      </c>
      <c r="E117" s="18" t="str">
        <f>IFERROR(VLOOKUP($B117,Quantitativos!$B$9:F5210,2,0),"-")</f>
        <v>VASO SANITÁRIO SIFONADO COM CAIXA ACOPLADA LOUÇA BRANCA - PADRÃO MÉDIO, INCLUSO ENGATE FLEXÍVEL EM METAL CROMADO, 1/2 X 40CM - FORNECIMENTO E INSTALAÇÃO</v>
      </c>
      <c r="F117" s="29">
        <f>IFERROR(VLOOKUP($B117,Quantitativos!$B$9:F5210,3,0),"-")</f>
        <v>2</v>
      </c>
      <c r="G117" s="7" t="str">
        <f>IFERROR(VLOOKUP($B117,Quantitativos!$B$9:F5210,4,0),"-")</f>
        <v>UND</v>
      </c>
      <c r="H117" s="21">
        <v>552.98</v>
      </c>
      <c r="I117" s="21">
        <v>28.72</v>
      </c>
      <c r="J117" s="21">
        <f t="shared" ref="J117:J121" si="83">IFERROR(H117+I117,0)</f>
        <v>581.70000000000005</v>
      </c>
      <c r="K117" s="30">
        <f>$C$197</f>
        <v>0.23810000000000001</v>
      </c>
      <c r="L117" s="21">
        <f t="shared" ref="L117:L121" si="84">IFERROR(TRUNC((1+$K117)*$F117*H117,2),0)</f>
        <v>1369.28</v>
      </c>
      <c r="M117" s="21">
        <f t="shared" ref="M117:M121" si="85">IFERROR(TRUNC((1+$K117)*$F117*I117,2),0)</f>
        <v>71.11</v>
      </c>
      <c r="N117" s="21">
        <f t="shared" ref="N117:N121" si="86">IFERROR(L117+M117,0)</f>
        <v>1440.3899999999999</v>
      </c>
    </row>
    <row r="118" spans="2:14" ht="38.25" x14ac:dyDescent="0.25">
      <c r="B118" s="7" t="s">
        <v>532</v>
      </c>
      <c r="C118" s="7" t="s">
        <v>123</v>
      </c>
      <c r="D118" s="7">
        <v>95472</v>
      </c>
      <c r="E118" s="18" t="str">
        <f>IFERROR(VLOOKUP($B118,Quantitativos!$B$9:F5211,2,0),"-")</f>
        <v>VASO SANITÁRIO SIFONADO CONVENCIONAL PARA PCD SEM FURO FRONTAL COM LOUÇA BRANCA SEM ASSENTO, INCLUSO CONJUNTO DE LIGAÇÃO PARA BACIA SANITÁRIA AJUSTÁVEL - FORNECIMENTO E INSTALAÇÃO</v>
      </c>
      <c r="F118" s="29">
        <f>IFERROR(VLOOKUP($B118,Quantitativos!$B$9:F5211,3,0),"-")</f>
        <v>4</v>
      </c>
      <c r="G118" s="7" t="str">
        <f>IFERROR(VLOOKUP($B118,Quantitativos!$B$9:F5211,4,0),"-")</f>
        <v>UND</v>
      </c>
      <c r="H118" s="21">
        <v>746.65</v>
      </c>
      <c r="I118" s="21">
        <v>34.869999999999997</v>
      </c>
      <c r="J118" s="21">
        <f t="shared" ref="J118:J120" si="87">IFERROR(H118+I118,0)</f>
        <v>781.52</v>
      </c>
      <c r="K118" s="30">
        <f>$C$197</f>
        <v>0.23810000000000001</v>
      </c>
      <c r="L118" s="21">
        <f t="shared" ref="L118:L120" si="88">IFERROR(TRUNC((1+$K118)*$F118*H118,2),0)</f>
        <v>3697.7</v>
      </c>
      <c r="M118" s="21">
        <f t="shared" ref="M118:M120" si="89">IFERROR(TRUNC((1+$K118)*$F118*I118,2),0)</f>
        <v>172.69</v>
      </c>
      <c r="N118" s="21">
        <f t="shared" ref="N118:N120" si="90">IFERROR(L118+M118,0)</f>
        <v>3870.39</v>
      </c>
    </row>
    <row r="119" spans="2:14" x14ac:dyDescent="0.25">
      <c r="B119" s="7" t="s">
        <v>533</v>
      </c>
      <c r="C119" s="7" t="s">
        <v>123</v>
      </c>
      <c r="D119" s="7">
        <v>100849</v>
      </c>
      <c r="E119" s="18" t="str">
        <f>IFERROR(VLOOKUP($B119,Quantitativos!$B$9:F5212,2,0),"-")</f>
        <v>ASSENTO SANITÁRIO CONVENCIONAL - FORNECIMENTO E INSTALAÇÃO</v>
      </c>
      <c r="F119" s="29">
        <f>IFERROR(VLOOKUP($B119,Quantitativos!$B$9:F5212,3,0),"-")</f>
        <v>6</v>
      </c>
      <c r="G119" s="7" t="str">
        <f>IFERROR(VLOOKUP($B119,Quantitativos!$B$9:F5212,4,0),"-")</f>
        <v>UND</v>
      </c>
      <c r="H119" s="21">
        <v>39.46</v>
      </c>
      <c r="I119" s="21">
        <v>4.22</v>
      </c>
      <c r="J119" s="21">
        <f t="shared" si="87"/>
        <v>43.68</v>
      </c>
      <c r="K119" s="30">
        <f>$C$197</f>
        <v>0.23810000000000001</v>
      </c>
      <c r="L119" s="21">
        <f t="shared" si="88"/>
        <v>293.13</v>
      </c>
      <c r="M119" s="21">
        <f t="shared" si="89"/>
        <v>31.34</v>
      </c>
      <c r="N119" s="21">
        <f t="shared" si="90"/>
        <v>324.46999999999997</v>
      </c>
    </row>
    <row r="120" spans="2:14" ht="38.25" x14ac:dyDescent="0.25">
      <c r="B120" s="7" t="s">
        <v>534</v>
      </c>
      <c r="C120" s="7" t="s">
        <v>123</v>
      </c>
      <c r="D120" s="7">
        <v>86943</v>
      </c>
      <c r="E120" s="18" t="str">
        <f>IFERROR(VLOOKUP($B120,Quantitativos!$B$9:F5213,2,0),"-")</f>
        <v>LAVATÓRIO LOUÇA BRANCA SUSPENSO, 29,5 X 39CM OU EQUIVALENTE, INCLUSO SIFÃO FLEXÍVEL EM PVC, VÁLVULA E ENGATE FLEXÍVEL 30CM EM PLÁSTICO E TORNEIRA CROMADA DE MESA, PADRÃO POPULAR - FORNECIMENTO E INSTALAÇÃO</v>
      </c>
      <c r="F120" s="29">
        <f>IFERROR(VLOOKUP($B120,Quantitativos!$B$9:F5213,3,0),"-")</f>
        <v>6</v>
      </c>
      <c r="G120" s="7" t="str">
        <f>IFERROR(VLOOKUP($B120,Quantitativos!$B$9:F5213,4,0),"-")</f>
        <v>UND</v>
      </c>
      <c r="H120" s="21">
        <v>279.95999999999998</v>
      </c>
      <c r="I120" s="21">
        <v>24.24</v>
      </c>
      <c r="J120" s="21">
        <f t="shared" si="87"/>
        <v>304.2</v>
      </c>
      <c r="K120" s="30">
        <f>$C$197</f>
        <v>0.23810000000000001</v>
      </c>
      <c r="L120" s="21">
        <f t="shared" si="88"/>
        <v>2079.71</v>
      </c>
      <c r="M120" s="21">
        <f t="shared" si="89"/>
        <v>180.06</v>
      </c>
      <c r="N120" s="21">
        <f t="shared" si="90"/>
        <v>2259.77</v>
      </c>
    </row>
    <row r="121" spans="2:14" ht="25.5" x14ac:dyDescent="0.25">
      <c r="B121" s="7" t="s">
        <v>535</v>
      </c>
      <c r="C121" s="7" t="s">
        <v>626</v>
      </c>
      <c r="D121" s="7" t="str">
        <f>IFERROR(IF($C121="PRÓPRIA",VLOOKUP($E121,CPU!$C$9:Q5111,15,0),0),"-")</f>
        <v>CP-06</v>
      </c>
      <c r="E121" s="18" t="str">
        <f>IFERROR(VLOOKUP($B121,Quantitativos!$B$9:F5211,2,0),"-")</f>
        <v>BANCADA/BANCA/PIA DE AÇO INOXIDÁVEL (AISI 430) COM 1 CUBA CENTRAL, COM VÁLVULA E SIFÃO, LISA (SEM ESCORREDOR), DE 0,55 X 1,20 M</v>
      </c>
      <c r="F121" s="29">
        <f>IFERROR(VLOOKUP($B121,Quantitativos!$B$9:F5211,3,0),"-")</f>
        <v>1</v>
      </c>
      <c r="G121" s="7" t="str">
        <f>IFERROR(VLOOKUP($B121,Quantitativos!$B$9:F5211,4,0),"-")</f>
        <v>UND</v>
      </c>
      <c r="H121" s="21">
        <f>IFERROR(IF($C121="PRÓPRIA",VLOOKUP($E121,CPU!$C$9:Q5121,7,0),0),0)</f>
        <v>459.11</v>
      </c>
      <c r="I121" s="21">
        <f>IFERROR(IF($C121="PRÓPRIA",VLOOKUP($E121,CPU!$C$9:Q5121,13,0),0),0)</f>
        <v>40.17</v>
      </c>
      <c r="J121" s="21">
        <f t="shared" si="83"/>
        <v>499.28000000000003</v>
      </c>
      <c r="K121" s="30">
        <f>$C$197</f>
        <v>0.23810000000000001</v>
      </c>
      <c r="L121" s="21">
        <f t="shared" si="84"/>
        <v>568.41999999999996</v>
      </c>
      <c r="M121" s="21">
        <f t="shared" si="85"/>
        <v>49.73</v>
      </c>
      <c r="N121" s="21">
        <f t="shared" si="86"/>
        <v>618.15</v>
      </c>
    </row>
    <row r="122" spans="2:14" ht="15" customHeight="1" x14ac:dyDescent="0.25">
      <c r="B122" s="55" t="s">
        <v>390</v>
      </c>
      <c r="C122" s="60" t="s">
        <v>391</v>
      </c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</row>
    <row r="123" spans="2:14" ht="25.5" x14ac:dyDescent="0.25">
      <c r="B123" s="7" t="s">
        <v>536</v>
      </c>
      <c r="C123" s="7" t="s">
        <v>123</v>
      </c>
      <c r="D123" s="7">
        <v>95635</v>
      </c>
      <c r="E123" s="18" t="str">
        <f>IFERROR(VLOOKUP($B123,Quantitativos!$B$9:F5208,2,0),"-")</f>
        <v>KIT CAVALETE PARA MEDIÇÃO DE ÁGUA - ENTRADA PRINCIPAL, EM PVC SOLDÁVEL DN 25 (¾") FORNECIMENTO E INSTALAÇÃO (EXCLUSIVE HIDRÔMETRO)</v>
      </c>
      <c r="F123" s="29">
        <f>IFERROR(VLOOKUP($B123,Quantitativos!$B$9:F5208,3,0),"-")</f>
        <v>1</v>
      </c>
      <c r="G123" s="7" t="str">
        <f>IFERROR(VLOOKUP($B123,Quantitativos!$B$9:F5208,4,0),"-")</f>
        <v>UND</v>
      </c>
      <c r="H123" s="21">
        <v>187.9</v>
      </c>
      <c r="I123" s="21">
        <v>70.92</v>
      </c>
      <c r="J123" s="21">
        <f t="shared" ref="J123:J125" si="91">IFERROR(H123+I123,0)</f>
        <v>258.82</v>
      </c>
      <c r="K123" s="30">
        <f>$C$197</f>
        <v>0.23810000000000001</v>
      </c>
      <c r="L123" s="21">
        <f t="shared" ref="L123:L125" si="92">IFERROR(TRUNC((1+$K123)*$F123*H123,2),0)</f>
        <v>232.63</v>
      </c>
      <c r="M123" s="21">
        <f t="shared" ref="M123:M125" si="93">IFERROR(TRUNC((1+$K123)*$F123*I123,2),0)</f>
        <v>87.8</v>
      </c>
      <c r="N123" s="21">
        <f t="shared" ref="N123:N125" si="94">IFERROR(L123+M123,0)</f>
        <v>320.43</v>
      </c>
    </row>
    <row r="124" spans="2:14" x14ac:dyDescent="0.25">
      <c r="B124" s="7" t="s">
        <v>537</v>
      </c>
      <c r="C124" s="7" t="s">
        <v>123</v>
      </c>
      <c r="D124" s="7">
        <v>95675</v>
      </c>
      <c r="E124" s="18" t="str">
        <f>IFERROR(VLOOKUP($B124,Quantitativos!$B$9:F5209,2,0),"-")</f>
        <v>HIDRÔMETRO DN 25 (¾ ), 5,0 M³/H - FORNECIMENTO E INSTALAÇÃO</v>
      </c>
      <c r="F124" s="29">
        <f>IFERROR(VLOOKUP($B124,Quantitativos!$B$9:F5209,3,0),"-")</f>
        <v>1</v>
      </c>
      <c r="G124" s="7" t="str">
        <f>IFERROR(VLOOKUP($B124,Quantitativos!$B$9:F5209,4,0),"-")</f>
        <v>UND</v>
      </c>
      <c r="H124" s="21">
        <v>210.13</v>
      </c>
      <c r="I124" s="21">
        <v>21.89</v>
      </c>
      <c r="J124" s="21">
        <f t="shared" si="91"/>
        <v>232.01999999999998</v>
      </c>
      <c r="K124" s="30">
        <f>$C$197</f>
        <v>0.23810000000000001</v>
      </c>
      <c r="L124" s="21">
        <f t="shared" si="92"/>
        <v>260.16000000000003</v>
      </c>
      <c r="M124" s="21">
        <f t="shared" si="93"/>
        <v>27.1</v>
      </c>
      <c r="N124" s="21">
        <f t="shared" si="94"/>
        <v>287.26000000000005</v>
      </c>
    </row>
    <row r="125" spans="2:14" ht="38.25" x14ac:dyDescent="0.25">
      <c r="B125" s="7" t="s">
        <v>538</v>
      </c>
      <c r="C125" s="7" t="s">
        <v>123</v>
      </c>
      <c r="D125" s="7">
        <v>91785</v>
      </c>
      <c r="E125" s="18" t="str">
        <f>IFERROR(VLOOKUP($B125,Quantitativos!$B$9:F5210,2,0),"-")</f>
        <v>INSTALAÇÃO DE TUBOS DE PVC, SOLDÁVEL, ÁGUA FRIA, DN 25 MM (INSTALADO EM RAMAL, SUB-RAMAL, RAMAL DE DISTRIBUIÇÃO OU PRUMADA), INCLUSIVE CONEXÕES, CORTES E FIXAÇÕES, PARA PRÉDIOS</v>
      </c>
      <c r="F125" s="29">
        <f>IFERROR(VLOOKUP($B125,Quantitativos!$B$9:F5210,3,0),"-")</f>
        <v>47.3</v>
      </c>
      <c r="G125" s="7" t="str">
        <f>IFERROR(VLOOKUP($B125,Quantitativos!$B$9:F5210,4,0),"-")</f>
        <v>M</v>
      </c>
      <c r="H125" s="21">
        <v>18.38</v>
      </c>
      <c r="I125" s="21">
        <v>29.8</v>
      </c>
      <c r="J125" s="21">
        <f t="shared" si="91"/>
        <v>48.18</v>
      </c>
      <c r="K125" s="30">
        <f>$C$197</f>
        <v>0.23810000000000001</v>
      </c>
      <c r="L125" s="21">
        <f t="shared" si="92"/>
        <v>1076.3699999999999</v>
      </c>
      <c r="M125" s="21">
        <f t="shared" si="93"/>
        <v>1745.15</v>
      </c>
      <c r="N125" s="21">
        <f t="shared" si="94"/>
        <v>2821.52</v>
      </c>
    </row>
    <row r="126" spans="2:14" ht="25.5" x14ac:dyDescent="0.25">
      <c r="B126" s="7" t="s">
        <v>539</v>
      </c>
      <c r="C126" s="7" t="s">
        <v>123</v>
      </c>
      <c r="D126" s="7">
        <v>102623</v>
      </c>
      <c r="E126" s="18" t="str">
        <f>IFERROR(VLOOKUP($B126,Quantitativos!$B$9:F5211,2,0),"-")</f>
        <v>CAIXA D´ÁGUA EM POLIETILENO, 1000 LITROS (INCLUSOS TUBOS, CONEXÕES E TORNEIRA DE BÓIA) - FORNECIMENTO E INSTALAÇÃO</v>
      </c>
      <c r="F126" s="29">
        <f>IFERROR(VLOOKUP($B126,Quantitativos!$B$9:F5211,3,0),"-")</f>
        <v>2</v>
      </c>
      <c r="G126" s="7" t="str">
        <f>IFERROR(VLOOKUP($B126,Quantitativos!$B$9:F5211,4,0),"-")</f>
        <v>UND</v>
      </c>
      <c r="H126" s="21">
        <v>876.96</v>
      </c>
      <c r="I126" s="21">
        <v>113.87</v>
      </c>
      <c r="J126" s="21">
        <f t="shared" ref="J126" si="95">IFERROR(H126+I126,0)</f>
        <v>990.83</v>
      </c>
      <c r="K126" s="30">
        <f>$C$197</f>
        <v>0.23810000000000001</v>
      </c>
      <c r="L126" s="21">
        <f t="shared" ref="L126" si="96">IFERROR(TRUNC((1+$K126)*$F126*H126,2),0)</f>
        <v>2171.52</v>
      </c>
      <c r="M126" s="21">
        <f t="shared" ref="M126" si="97">IFERROR(TRUNC((1+$K126)*$F126*I126,2),0)</f>
        <v>281.95999999999998</v>
      </c>
      <c r="N126" s="21">
        <f t="shared" ref="N126" si="98">IFERROR(L126+M126,0)</f>
        <v>2453.48</v>
      </c>
    </row>
    <row r="127" spans="2:14" ht="15" customHeight="1" x14ac:dyDescent="0.25">
      <c r="B127" s="55" t="s">
        <v>392</v>
      </c>
      <c r="C127" s="60" t="s">
        <v>393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</row>
    <row r="128" spans="2:14" ht="38.25" x14ac:dyDescent="0.25">
      <c r="B128" s="7" t="s">
        <v>540</v>
      </c>
      <c r="C128" s="7" t="s">
        <v>123</v>
      </c>
      <c r="D128" s="7">
        <v>91793</v>
      </c>
      <c r="E128" s="18" t="str">
        <f>IFERROR(VLOOKUP($B128,Quantitativos!$B$9:F5212,2,0),"-")</f>
        <v xml:space="preserve"> INSTALAÇÃO DE TUBO DE PVC, SÉRIE NORMAL, ESGOTO PREDIAL, DN 50 MM (INSTALADO EM RAMAL DE DESCARGA OU RAMAL DE ESGOTO SANITÁRIO), INCLUSIVE CONEXÕES, CORTES E FIXAÇÕES PARA PRÉDIOS</v>
      </c>
      <c r="F128" s="29">
        <f>IFERROR(VLOOKUP($B128,Quantitativos!$B$9:F5212,3,0),"-")</f>
        <v>11</v>
      </c>
      <c r="G128" s="7" t="str">
        <f>IFERROR(VLOOKUP($B128,Quantitativos!$B$9:F5212,4,0),"-")</f>
        <v>M</v>
      </c>
      <c r="H128" s="21">
        <v>55.87</v>
      </c>
      <c r="I128" s="21">
        <v>45.13</v>
      </c>
      <c r="J128" s="21">
        <f t="shared" ref="J128:J140" si="99">IFERROR(H128+I128,0)</f>
        <v>101</v>
      </c>
      <c r="K128" s="30">
        <f t="shared" ref="K128:K137" si="100">$C$197</f>
        <v>0.23810000000000001</v>
      </c>
      <c r="L128" s="21">
        <f t="shared" ref="L128:L140" si="101">IFERROR(TRUNC((1+$K128)*$F128*H128,2),0)</f>
        <v>760.89</v>
      </c>
      <c r="M128" s="21">
        <f t="shared" ref="M128:M140" si="102">IFERROR(TRUNC((1+$K128)*$F128*I128,2),0)</f>
        <v>614.62</v>
      </c>
      <c r="N128" s="21">
        <f t="shared" ref="N128:N140" si="103">IFERROR(L128+M128,0)</f>
        <v>1375.51</v>
      </c>
    </row>
    <row r="129" spans="2:14" ht="25.5" x14ac:dyDescent="0.25">
      <c r="B129" s="7" t="s">
        <v>541</v>
      </c>
      <c r="C129" s="7" t="s">
        <v>123</v>
      </c>
      <c r="D129" s="7">
        <v>89713</v>
      </c>
      <c r="E129" s="18" t="str">
        <f>IFERROR(VLOOKUP($B129,Quantitativos!$B$9:F5213,2,0),"-")</f>
        <v>TUBO PVC, SÉRIE NORMAL, ESGOTO PREDIAL, DN 75 MM, FORNECIDO E INSTALADO EM RAMAL DE DESCARGA OU RAMAL DE ESGOTO SANITÁRIO</v>
      </c>
      <c r="F129" s="29">
        <f>IFERROR(VLOOKUP($B129,Quantitativos!$B$9:F5213,3,0),"-")</f>
        <v>25</v>
      </c>
      <c r="G129" s="7" t="str">
        <f>IFERROR(VLOOKUP($B129,Quantitativos!$B$9:F5213,4,0),"-")</f>
        <v>M</v>
      </c>
      <c r="H129" s="21">
        <v>19.82</v>
      </c>
      <c r="I129" s="21">
        <v>15.89</v>
      </c>
      <c r="J129" s="21">
        <f t="shared" ref="J129:J136" si="104">IFERROR(H129+I129,0)</f>
        <v>35.71</v>
      </c>
      <c r="K129" s="30">
        <f t="shared" si="100"/>
        <v>0.23810000000000001</v>
      </c>
      <c r="L129" s="21">
        <f t="shared" ref="L129:L136" si="105">IFERROR(TRUNC((1+$K129)*$F129*H129,2),0)</f>
        <v>613.47</v>
      </c>
      <c r="M129" s="21">
        <f t="shared" ref="M129:M136" si="106">IFERROR(TRUNC((1+$K129)*$F129*I129,2),0)</f>
        <v>491.83</v>
      </c>
      <c r="N129" s="21">
        <f t="shared" ref="N129:N136" si="107">IFERROR(L129+M129,0)</f>
        <v>1105.3</v>
      </c>
    </row>
    <row r="130" spans="2:14" ht="51" x14ac:dyDescent="0.25">
      <c r="B130" s="7" t="s">
        <v>542</v>
      </c>
      <c r="C130" s="7" t="s">
        <v>123</v>
      </c>
      <c r="D130" s="7">
        <v>91795</v>
      </c>
      <c r="E130" s="18" t="str">
        <f>IFERROR(VLOOKUP($B130,Quantitativos!$B$9:F5214,2,0),"-")</f>
        <v>INSTALAÇÃO TUBO PVC, SÉRIE NORMAL, ESGOTO PREDIAL, 100 MM (INSTALADO EM RAMAL DE DESCARGA, RAMAL DE ESGOTO SANITÁRIO, PRUMADA DE ESGOTO SANITÁRIO, VENTILAÇÃO OU SUB-COLETOR AÉREO), INCLUSIVE CONEXÕES, CORTES E FIXAÇÕES PARA PRÉDIOS</v>
      </c>
      <c r="F130" s="29">
        <f>IFERROR(VLOOKUP($B130,Quantitativos!$B$9:F5214,3,0),"-")</f>
        <v>34</v>
      </c>
      <c r="G130" s="7" t="str">
        <f>IFERROR(VLOOKUP($B130,Quantitativos!$B$9:F5214,4,0),"-")</f>
        <v>M</v>
      </c>
      <c r="H130" s="21">
        <v>47.62</v>
      </c>
      <c r="I130" s="21">
        <v>26.85</v>
      </c>
      <c r="J130" s="21">
        <f t="shared" si="104"/>
        <v>74.47</v>
      </c>
      <c r="K130" s="30">
        <f t="shared" si="100"/>
        <v>0.23810000000000001</v>
      </c>
      <c r="L130" s="21">
        <f t="shared" si="105"/>
        <v>2004.58</v>
      </c>
      <c r="M130" s="21">
        <f t="shared" si="106"/>
        <v>1130.26</v>
      </c>
      <c r="N130" s="21">
        <f t="shared" si="107"/>
        <v>3134.84</v>
      </c>
    </row>
    <row r="131" spans="2:14" ht="25.5" x14ac:dyDescent="0.25">
      <c r="B131" s="7" t="s">
        <v>543</v>
      </c>
      <c r="C131" s="7" t="s">
        <v>123</v>
      </c>
      <c r="D131" s="7">
        <v>98102</v>
      </c>
      <c r="E131" s="18" t="str">
        <f>IFERROR(VLOOKUP($B131,Quantitativos!$B$9:F5215,2,0),"-")</f>
        <v>CAIXA DE GORDURA SIMPLES, CIRCULAR, EM CONCRETO PRÉ-MOLDADO, DIÂMETRO INTERNO = 0,4 M, ALTURA INTERNA = 0,4 M</v>
      </c>
      <c r="F131" s="29">
        <f>IFERROR(VLOOKUP($B131,Quantitativos!$B$9:F5215,3,0),"-")</f>
        <v>1</v>
      </c>
      <c r="G131" s="7" t="str">
        <f>IFERROR(VLOOKUP($B131,Quantitativos!$B$9:F5215,4,0),"-")</f>
        <v>UND</v>
      </c>
      <c r="H131" s="21">
        <f>2.01+165.11</f>
        <v>167.12</v>
      </c>
      <c r="I131" s="21">
        <v>4.5599999999999996</v>
      </c>
      <c r="J131" s="21">
        <f t="shared" si="104"/>
        <v>171.68</v>
      </c>
      <c r="K131" s="30">
        <f t="shared" si="100"/>
        <v>0.23810000000000001</v>
      </c>
      <c r="L131" s="21">
        <f t="shared" si="105"/>
        <v>206.91</v>
      </c>
      <c r="M131" s="21">
        <f t="shared" si="106"/>
        <v>5.64</v>
      </c>
      <c r="N131" s="21">
        <f t="shared" si="107"/>
        <v>212.54999999999998</v>
      </c>
    </row>
    <row r="132" spans="2:14" ht="25.5" x14ac:dyDescent="0.25">
      <c r="B132" s="7" t="s">
        <v>544</v>
      </c>
      <c r="C132" s="7" t="s">
        <v>123</v>
      </c>
      <c r="D132" s="7">
        <v>97974</v>
      </c>
      <c r="E132" s="18" t="str">
        <f>IFERROR(VLOOKUP($B132,Quantitativos!$B$9:F5216,2,0),"-")</f>
        <v>POÇO DE INSPEÇÃO CIRCULAR PARA ESGOTO, EM CONCRETO PRÉ-MOLDADO, DIÂMETRO INTERNO = 0,60 M, PROFUNDIDADE = 0,90 M, EXCLUINDO TAMPÃO</v>
      </c>
      <c r="F132" s="29">
        <f>IFERROR(VLOOKUP($B132,Quantitativos!$B$9:F5216,3,0),"-")</f>
        <v>5</v>
      </c>
      <c r="G132" s="7" t="str">
        <f>IFERROR(VLOOKUP($B132,Quantitativos!$B$9:F5216,4,0),"-")</f>
        <v>UND</v>
      </c>
      <c r="H132" s="21">
        <f>17.38+411.09+0.13</f>
        <v>428.59999999999997</v>
      </c>
      <c r="I132" s="21">
        <v>84.42</v>
      </c>
      <c r="J132" s="21">
        <f t="shared" si="104"/>
        <v>513.02</v>
      </c>
      <c r="K132" s="30">
        <f t="shared" si="100"/>
        <v>0.23810000000000001</v>
      </c>
      <c r="L132" s="21">
        <f t="shared" si="105"/>
        <v>2653.24</v>
      </c>
      <c r="M132" s="21">
        <f t="shared" si="106"/>
        <v>522.6</v>
      </c>
      <c r="N132" s="21">
        <f t="shared" si="107"/>
        <v>3175.8399999999997</v>
      </c>
    </row>
    <row r="133" spans="2:14" ht="25.5" x14ac:dyDescent="0.25">
      <c r="B133" s="7" t="s">
        <v>545</v>
      </c>
      <c r="C133" s="7" t="s">
        <v>123</v>
      </c>
      <c r="D133" s="7">
        <v>98115</v>
      </c>
      <c r="E133" s="18" t="str">
        <f>IFERROR(VLOOKUP($B133,Quantitativos!$B$9:F5217,2,0),"-")</f>
        <v>TAMPA CIRCULAR PARA ESGOTO E DRENAGEM, EM CONCRETO PRÉ-MOLDADO, DIÂMETRO INTERNO = 0,60 M E ALTURA = 0,10 M</v>
      </c>
      <c r="F133" s="29">
        <f>IFERROR(VLOOKUP($B133,Quantitativos!$B$9:F5217,3,0),"-")</f>
        <v>5</v>
      </c>
      <c r="G133" s="7" t="str">
        <f>IFERROR(VLOOKUP($B133,Quantitativos!$B$9:F5217,4,0),"-")</f>
        <v>UND</v>
      </c>
      <c r="H133" s="21">
        <f>0.44+48.88+0.15</f>
        <v>49.47</v>
      </c>
      <c r="I133" s="21">
        <v>47.11</v>
      </c>
      <c r="J133" s="21">
        <f t="shared" si="104"/>
        <v>96.58</v>
      </c>
      <c r="K133" s="30">
        <f t="shared" si="100"/>
        <v>0.23810000000000001</v>
      </c>
      <c r="L133" s="21">
        <f t="shared" si="105"/>
        <v>306.24</v>
      </c>
      <c r="M133" s="21">
        <f t="shared" si="106"/>
        <v>291.63</v>
      </c>
      <c r="N133" s="21">
        <f t="shared" si="107"/>
        <v>597.87</v>
      </c>
    </row>
    <row r="134" spans="2:14" ht="25.5" x14ac:dyDescent="0.25">
      <c r="B134" s="7" t="s">
        <v>546</v>
      </c>
      <c r="C134" s="7" t="s">
        <v>123</v>
      </c>
      <c r="D134" s="7">
        <v>104327</v>
      </c>
      <c r="E134" s="18" t="str">
        <f>IFERROR(VLOOKUP($B134,Quantitativos!$B$9:F5218,2,0),"-")</f>
        <v>RALO SIFONADO REDONDO, PVC, DN 100 X 40 MM, JUNTA SOLDÁVEL, FORNECIDO E INSTALADO EM RAMAL DE DESCARGA OU EM RAMAL DE ESGOTO SANITÁRIO</v>
      </c>
      <c r="F134" s="29">
        <f>IFERROR(VLOOKUP($B134,Quantitativos!$B$9:F5218,3,0),"-")</f>
        <v>6</v>
      </c>
      <c r="G134" s="7" t="str">
        <f>IFERROR(VLOOKUP($B134,Quantitativos!$B$9:F5218,4,0),"-")</f>
        <v>UND</v>
      </c>
      <c r="H134" s="21">
        <v>12.91</v>
      </c>
      <c r="I134" s="21">
        <v>6.87</v>
      </c>
      <c r="J134" s="21">
        <f t="shared" si="104"/>
        <v>19.78</v>
      </c>
      <c r="K134" s="30">
        <f t="shared" si="100"/>
        <v>0.23810000000000001</v>
      </c>
      <c r="L134" s="21">
        <f t="shared" si="105"/>
        <v>95.9</v>
      </c>
      <c r="M134" s="21">
        <f t="shared" si="106"/>
        <v>51.03</v>
      </c>
      <c r="N134" s="21">
        <f t="shared" si="107"/>
        <v>146.93</v>
      </c>
    </row>
    <row r="135" spans="2:14" ht="25.5" x14ac:dyDescent="0.25">
      <c r="B135" s="7" t="s">
        <v>547</v>
      </c>
      <c r="C135" s="7" t="s">
        <v>626</v>
      </c>
      <c r="D135" s="7" t="str">
        <f>IFERROR(IF($C135="PRÓPRIA",VLOOKUP($E135,CPU!$C$9:Q5119,15,0),0),"-")</f>
        <v>CP-09</v>
      </c>
      <c r="E135" s="18" t="str">
        <f>IFERROR(VLOOKUP($B135,Quantitativos!$B$9:F5219,2,0),"-")</f>
        <v>TANQUE SÉPTICO CIRCULAR, EM CONCRETO PRÉ-MOLDADO, DIÂMETRO INTERNO = 1,88 M, ALTURA INTERNA = 2,00 M, VOLUME ÚTIL: 4857,7 L</v>
      </c>
      <c r="F135" s="29">
        <f>IFERROR(VLOOKUP($B135,Quantitativos!$B$9:F5219,3,0),"-")</f>
        <v>1</v>
      </c>
      <c r="G135" s="7" t="str">
        <f>IFERROR(VLOOKUP($B135,Quantitativos!$B$9:F5219,4,0),"-")</f>
        <v>UND</v>
      </c>
      <c r="H135" s="21">
        <f>IFERROR(IF($C135="PRÓPRIA",VLOOKUP($E135,CPU!$C$9:Q5129,7,0),0),0)</f>
        <v>3596.1</v>
      </c>
      <c r="I135" s="21">
        <f>IFERROR(IF($C135="PRÓPRIA",VLOOKUP($E135,CPU!$C$9:Q5129,13,0),0),0)</f>
        <v>83.64</v>
      </c>
      <c r="J135" s="21">
        <f t="shared" si="104"/>
        <v>3679.74</v>
      </c>
      <c r="K135" s="30">
        <f t="shared" si="100"/>
        <v>0.23810000000000001</v>
      </c>
      <c r="L135" s="21">
        <f t="shared" si="105"/>
        <v>4452.33</v>
      </c>
      <c r="M135" s="21">
        <f t="shared" si="106"/>
        <v>103.55</v>
      </c>
      <c r="N135" s="21">
        <f t="shared" si="107"/>
        <v>4555.88</v>
      </c>
    </row>
    <row r="136" spans="2:14" ht="25.5" x14ac:dyDescent="0.25">
      <c r="B136" s="7" t="s">
        <v>548</v>
      </c>
      <c r="C136" s="7" t="s">
        <v>123</v>
      </c>
      <c r="D136" s="7">
        <v>98060</v>
      </c>
      <c r="E136" s="18" t="str">
        <f>IFERROR(VLOOKUP($B136,Quantitativos!$B$9:F5220,2,0),"-")</f>
        <v>FILTRO ANAERÓBIO CIRCULAR, EM CONCRETO PRÉ-MOLDADO, DIÂMETRO INTERNO = 2,38 M, ALTURA INTERNA = 1,50 M, VOLUME ÚTIL: 5338,6 L (PARA 34 CONTRIBUINTES)</v>
      </c>
      <c r="F136" s="29">
        <f>IFERROR(VLOOKUP($B136,Quantitativos!$B$9:F5220,3,0),"-")</f>
        <v>1</v>
      </c>
      <c r="G136" s="7" t="str">
        <f>IFERROR(VLOOKUP($B136,Quantitativos!$B$9:F5220,4,0),"-")</f>
        <v>UND</v>
      </c>
      <c r="H136" s="21">
        <f>162.85+4476.28+1.38</f>
        <v>4640.51</v>
      </c>
      <c r="I136" s="21">
        <v>566.99</v>
      </c>
      <c r="J136" s="21">
        <f t="shared" si="104"/>
        <v>5207.5</v>
      </c>
      <c r="K136" s="30">
        <f t="shared" si="100"/>
        <v>0.23810000000000001</v>
      </c>
      <c r="L136" s="21">
        <f t="shared" si="105"/>
        <v>5745.41</v>
      </c>
      <c r="M136" s="21">
        <f t="shared" si="106"/>
        <v>701.99</v>
      </c>
      <c r="N136" s="21">
        <f t="shared" si="107"/>
        <v>6447.4</v>
      </c>
    </row>
    <row r="137" spans="2:14" ht="25.5" x14ac:dyDescent="0.25">
      <c r="B137" s="7" t="s">
        <v>549</v>
      </c>
      <c r="C137" s="7" t="s">
        <v>123</v>
      </c>
      <c r="D137" s="7">
        <v>98101</v>
      </c>
      <c r="E137" s="18" t="str">
        <f>IFERROR(VLOOKUP($B137,Quantitativos!$B$9:F5213,2,0),"-")</f>
        <v>SUMIDOURO RETANGULAR, EM ALVENARIA COM BLOCOS DE CONCRETO, DIMENSÕES INTERNAS: 1,6 X 5,8 X H=3,0 M, ÁREA DE INFILTRAÇÃO: 50 M² (PARA 20 CONTRIBUINTES)</v>
      </c>
      <c r="F137" s="29">
        <f>IFERROR(VLOOKUP($B137,Quantitativos!$B$9:F5213,3,0),"-")</f>
        <v>1</v>
      </c>
      <c r="G137" s="7" t="str">
        <f>IFERROR(VLOOKUP($B137,Quantitativos!$B$9:F5213,4,0),"-")</f>
        <v>UND</v>
      </c>
      <c r="H137" s="21">
        <f>139.02+5736.3+4.78</f>
        <v>5880.1</v>
      </c>
      <c r="I137" s="21">
        <v>2928.73</v>
      </c>
      <c r="J137" s="21">
        <f t="shared" si="99"/>
        <v>8808.83</v>
      </c>
      <c r="K137" s="30">
        <f t="shared" si="100"/>
        <v>0.23810000000000001</v>
      </c>
      <c r="L137" s="21">
        <f t="shared" si="101"/>
        <v>7280.15</v>
      </c>
      <c r="M137" s="21">
        <f t="shared" si="102"/>
        <v>3626.06</v>
      </c>
      <c r="N137" s="21">
        <f t="shared" si="103"/>
        <v>10906.21</v>
      </c>
    </row>
    <row r="138" spans="2:14" ht="15" customHeight="1" x14ac:dyDescent="0.25">
      <c r="B138" s="55" t="s">
        <v>394</v>
      </c>
      <c r="C138" s="60" t="s">
        <v>395</v>
      </c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</row>
    <row r="139" spans="2:14" ht="38.25" x14ac:dyDescent="0.25">
      <c r="B139" s="7" t="s">
        <v>550</v>
      </c>
      <c r="C139" s="7" t="s">
        <v>123</v>
      </c>
      <c r="D139" s="7">
        <v>91789</v>
      </c>
      <c r="E139" s="18" t="str">
        <f>IFERROR(VLOOKUP($B139,Quantitativos!$B$9:F5218,2,0),"-")</f>
        <v>INSTALAÇÃO DE TUBOS DE PVC, SÉRIE R, ÁGUA PLUVIAL, DN 75 MM (INSTALADO EM RAMAL DE ENCAMINHAMENTO, OU CONDUTORES VERTICAIS), INCLUSIVE CONEXÕES, CORTE E FIXAÇÕES, PARA PRÉDIOS</v>
      </c>
      <c r="F139" s="29">
        <f>IFERROR(VLOOKUP($B139,Quantitativos!$B$9:F5218,3,0),"-")</f>
        <v>25</v>
      </c>
      <c r="G139" s="7" t="str">
        <f>IFERROR(VLOOKUP($B139,Quantitativos!$B$9:F5218,4,0),"-")</f>
        <v>M</v>
      </c>
      <c r="H139" s="21">
        <v>45.12</v>
      </c>
      <c r="I139" s="21">
        <v>8.1300000000000008</v>
      </c>
      <c r="J139" s="21">
        <f t="shared" ref="J139" si="108">IFERROR(H139+I139,0)</f>
        <v>53.25</v>
      </c>
      <c r="K139" s="30">
        <f>$C$197</f>
        <v>0.23810000000000001</v>
      </c>
      <c r="L139" s="21">
        <f t="shared" ref="L139" si="109">IFERROR(TRUNC((1+$K139)*$F139*H139,2),0)</f>
        <v>1396.57</v>
      </c>
      <c r="M139" s="21">
        <f t="shared" ref="M139" si="110">IFERROR(TRUNC((1+$K139)*$F139*I139,2),0)</f>
        <v>251.64</v>
      </c>
      <c r="N139" s="21">
        <f t="shared" ref="N139" si="111">IFERROR(L139+M139,0)</f>
        <v>1648.21</v>
      </c>
    </row>
    <row r="140" spans="2:14" ht="38.25" x14ac:dyDescent="0.25">
      <c r="B140" s="7" t="s">
        <v>551</v>
      </c>
      <c r="C140" s="7" t="s">
        <v>123</v>
      </c>
      <c r="D140" s="7">
        <v>91790</v>
      </c>
      <c r="E140" s="18" t="str">
        <f>IFERROR(VLOOKUP($B140,Quantitativos!$B$9:F5216,2,0),"-")</f>
        <v>INSTALAÇÃO DE TUBOS DE PVC, SÉRIE R, ÁGUA PLUVIAL, DN 100 MM (INSTALADO EM RAMAL DE ENCAMINHAMENTO, OU CONDUTORES VERTICAIS), INCLUSIVE CONEXÕES, CORTES E FIXAÇÕES, PARA PRÉDIOS</v>
      </c>
      <c r="F140" s="29">
        <f>IFERROR(VLOOKUP($B140,Quantitativos!$B$9:F5216,3,0),"-")</f>
        <v>29.3</v>
      </c>
      <c r="G140" s="7" t="str">
        <f>IFERROR(VLOOKUP($B140,Quantitativos!$B$9:F5216,4,0),"-")</f>
        <v>M</v>
      </c>
      <c r="H140" s="21">
        <v>47.37</v>
      </c>
      <c r="I140" s="21">
        <v>14.39</v>
      </c>
      <c r="J140" s="21">
        <f t="shared" si="99"/>
        <v>61.76</v>
      </c>
      <c r="K140" s="30">
        <f>$C$197</f>
        <v>0.23810000000000001</v>
      </c>
      <c r="L140" s="21">
        <f t="shared" si="101"/>
        <v>1718.4</v>
      </c>
      <c r="M140" s="21">
        <f t="shared" si="102"/>
        <v>522.01</v>
      </c>
      <c r="N140" s="21">
        <f t="shared" si="103"/>
        <v>2240.41</v>
      </c>
    </row>
    <row r="141" spans="2:14" ht="15" customHeight="1" x14ac:dyDescent="0.25">
      <c r="B141" s="55" t="s">
        <v>396</v>
      </c>
      <c r="C141" s="60" t="s">
        <v>397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</row>
    <row r="142" spans="2:14" ht="25.5" x14ac:dyDescent="0.25">
      <c r="B142" s="7" t="s">
        <v>552</v>
      </c>
      <c r="C142" s="7" t="s">
        <v>123</v>
      </c>
      <c r="D142" s="7">
        <v>100864</v>
      </c>
      <c r="E142" s="18" t="str">
        <f>IFERROR(VLOOKUP($B142,Quantitativos!$B$9:F5200,2,0),"-")</f>
        <v>BARRA DE APOIO EM "L", EM AÇO INOX POLIDO 80 X 80 CM, FIXADA NA PAREDE - FORNECIMENTO E INSTALAÇÃO</v>
      </c>
      <c r="F142" s="29">
        <f>IFERROR(VLOOKUP($B142,Quantitativos!$B$9:F5200,3,0),"-")</f>
        <v>4</v>
      </c>
      <c r="G142" s="7" t="str">
        <f>IFERROR(VLOOKUP($B142,Quantitativos!$B$9:F5200,4,0),"-")</f>
        <v>UND</v>
      </c>
      <c r="H142" s="21">
        <v>863.1</v>
      </c>
      <c r="I142" s="21">
        <v>39.22</v>
      </c>
      <c r="J142" s="21">
        <f t="shared" ref="J142:J147" si="112">IFERROR(H142+I142,0)</f>
        <v>902.32</v>
      </c>
      <c r="K142" s="30">
        <f t="shared" ref="K142:K148" si="113">$C$197</f>
        <v>0.23810000000000001</v>
      </c>
      <c r="L142" s="21">
        <f t="shared" ref="L142:L147" si="114">IFERROR(TRUNC((1+$K142)*$F142*H142,2),0)</f>
        <v>4274.41</v>
      </c>
      <c r="M142" s="21">
        <f t="shared" ref="M142:M147" si="115">IFERROR(TRUNC((1+$K142)*$F142*I142,2),0)</f>
        <v>194.23</v>
      </c>
      <c r="N142" s="21">
        <f t="shared" ref="N142:N147" si="116">IFERROR(L142+M142,0)</f>
        <v>4468.6399999999994</v>
      </c>
    </row>
    <row r="143" spans="2:14" ht="25.5" x14ac:dyDescent="0.25">
      <c r="B143" s="7" t="s">
        <v>553</v>
      </c>
      <c r="C143" s="7" t="s">
        <v>123</v>
      </c>
      <c r="D143" s="7">
        <v>100865</v>
      </c>
      <c r="E143" s="18" t="str">
        <f>IFERROR(VLOOKUP($B143,Quantitativos!$B$9:F5201,2,0),"-")</f>
        <v>BARRA DE APOIO LATERAL ARTICULADA, COM TRAVA, EM AÇO INOX POLIDO, FIXADA NA PAREDE - FORNECIMENTO E INSTALAÇÃO</v>
      </c>
      <c r="F143" s="29">
        <f>IFERROR(VLOOKUP($B143,Quantitativos!$B$9:F5201,3,0),"-")</f>
        <v>4</v>
      </c>
      <c r="G143" s="7" t="str">
        <f>IFERROR(VLOOKUP($B143,Quantitativos!$B$9:F5201,4,0),"-")</f>
        <v>UND</v>
      </c>
      <c r="H143" s="21">
        <v>817.9</v>
      </c>
      <c r="I143" s="21">
        <v>17.399999999999999</v>
      </c>
      <c r="J143" s="21">
        <f t="shared" si="112"/>
        <v>835.3</v>
      </c>
      <c r="K143" s="30">
        <f t="shared" si="113"/>
        <v>0.23810000000000001</v>
      </c>
      <c r="L143" s="21">
        <f t="shared" si="114"/>
        <v>4050.56</v>
      </c>
      <c r="M143" s="21">
        <f t="shared" si="115"/>
        <v>86.17</v>
      </c>
      <c r="N143" s="21">
        <f t="shared" si="116"/>
        <v>4136.7299999999996</v>
      </c>
    </row>
    <row r="144" spans="2:14" ht="25.5" x14ac:dyDescent="0.25">
      <c r="B144" s="7" t="s">
        <v>554</v>
      </c>
      <c r="C144" s="7" t="s">
        <v>123</v>
      </c>
      <c r="D144" s="7">
        <v>100868</v>
      </c>
      <c r="E144" s="18" t="str">
        <f>IFERROR(VLOOKUP($B144,Quantitativos!$B$9:F5202,2,0),"-")</f>
        <v>BARRA DE APOIO RETA, EM AÇO INOX POLIDO, COMPRIMENTO 80 CM, FIXADA NA PAREDE - FORNECIMENTO E INSTALAÇÃO</v>
      </c>
      <c r="F144" s="29">
        <f>IFERROR(VLOOKUP($B144,Quantitativos!$B$9:F5202,3,0),"-")</f>
        <v>8</v>
      </c>
      <c r="G144" s="7" t="str">
        <f>IFERROR(VLOOKUP($B144,Quantitativos!$B$9:F5202,4,0),"-")</f>
        <v>UND</v>
      </c>
      <c r="H144" s="21">
        <v>430.73</v>
      </c>
      <c r="I144" s="21">
        <v>26.13</v>
      </c>
      <c r="J144" s="21">
        <f t="shared" si="112"/>
        <v>456.86</v>
      </c>
      <c r="K144" s="30">
        <f t="shared" si="113"/>
        <v>0.23810000000000001</v>
      </c>
      <c r="L144" s="21">
        <f t="shared" si="114"/>
        <v>4266.29</v>
      </c>
      <c r="M144" s="21">
        <f t="shared" si="115"/>
        <v>258.81</v>
      </c>
      <c r="N144" s="21">
        <f t="shared" si="116"/>
        <v>4525.1000000000004</v>
      </c>
    </row>
    <row r="145" spans="2:14" ht="25.5" x14ac:dyDescent="0.25">
      <c r="B145" s="7" t="s">
        <v>555</v>
      </c>
      <c r="C145" s="7" t="s">
        <v>599</v>
      </c>
      <c r="D145" s="7">
        <v>12128</v>
      </c>
      <c r="E145" s="18" t="str">
        <f>IFERROR(VLOOKUP($B145,Quantitativos!$B$9:F5203,2,0),"-")</f>
        <v>BARRA DE APOIO PARA LAVATÓRIO, FIXA, CONSTITUÍDA DE DUAS BARRAS LATERAIS EM "U", EM AÇO INOX, D= 1 1/4"</v>
      </c>
      <c r="F145" s="29">
        <f>IFERROR(VLOOKUP($B145,Quantitativos!$B$9:F5203,3,0),"-")</f>
        <v>4</v>
      </c>
      <c r="G145" s="7" t="str">
        <f>IFERROR(VLOOKUP($B145,Quantitativos!$B$9:F5203,4,0),"-")</f>
        <v>CJ</v>
      </c>
      <c r="H145" s="21">
        <v>385.53</v>
      </c>
      <c r="I145" s="21">
        <f>2.57+2.88+0.21</f>
        <v>5.6599999999999993</v>
      </c>
      <c r="J145" s="21">
        <f t="shared" si="112"/>
        <v>391.19</v>
      </c>
      <c r="K145" s="30">
        <f t="shared" si="113"/>
        <v>0.23810000000000001</v>
      </c>
      <c r="L145" s="21">
        <f t="shared" si="114"/>
        <v>1909.29</v>
      </c>
      <c r="M145" s="21">
        <f t="shared" si="115"/>
        <v>28.03</v>
      </c>
      <c r="N145" s="21">
        <f t="shared" si="116"/>
        <v>1937.32</v>
      </c>
    </row>
    <row r="146" spans="2:14" ht="25.5" x14ac:dyDescent="0.25">
      <c r="B146" s="7" t="s">
        <v>556</v>
      </c>
      <c r="C146" s="7" t="s">
        <v>123</v>
      </c>
      <c r="D146" s="7">
        <v>95547</v>
      </c>
      <c r="E146" s="18" t="str">
        <f>IFERROR(VLOOKUP($B146,Quantitativos!$B$9:F5204,2,0),"-")</f>
        <v>SABONETEIRA PLÁSTICA TIPO DISPENSER PARA SABONETE LÍQUIDO COM RESERVATÓRIO 800 A 1500 ML, INCLUSO FIXAÇÃO</v>
      </c>
      <c r="F146" s="29">
        <f>IFERROR(VLOOKUP($B146,Quantitativos!$B$9:F5204,3,0),"-")</f>
        <v>6</v>
      </c>
      <c r="G146" s="7" t="str">
        <f>IFERROR(VLOOKUP($B146,Quantitativos!$B$9:F5204,4,0),"-")</f>
        <v>UND</v>
      </c>
      <c r="H146" s="21">
        <v>38.57</v>
      </c>
      <c r="I146" s="21">
        <v>8.7100000000000009</v>
      </c>
      <c r="J146" s="21">
        <f t="shared" si="112"/>
        <v>47.28</v>
      </c>
      <c r="K146" s="30">
        <f t="shared" si="113"/>
        <v>0.23810000000000001</v>
      </c>
      <c r="L146" s="21">
        <f t="shared" si="114"/>
        <v>286.52</v>
      </c>
      <c r="M146" s="21">
        <f t="shared" si="115"/>
        <v>64.7</v>
      </c>
      <c r="N146" s="21">
        <f t="shared" si="116"/>
        <v>351.21999999999997</v>
      </c>
    </row>
    <row r="147" spans="2:14" x14ac:dyDescent="0.25">
      <c r="B147" s="7" t="s">
        <v>557</v>
      </c>
      <c r="C147" s="7" t="s">
        <v>626</v>
      </c>
      <c r="D147" s="7" t="str">
        <f>IFERROR(IF($C147="PRÓPRIA",VLOOKUP($E147,CPU!$C$9:Q5104,15,0),0),"-")</f>
        <v>CP-07</v>
      </c>
      <c r="E147" s="18" t="str">
        <f>IFERROR(VLOOKUP($B147,Quantitativos!$B$9:F5204,2,0),"-")</f>
        <v>PAPELEIRA PLÁSTICA TIPO DISPENSER PARA PAPEL HIGIÊNICO ROLÃO, INCLUSO FIXAÇÃO</v>
      </c>
      <c r="F147" s="29">
        <f>IFERROR(VLOOKUP($B147,Quantitativos!$B$9:F5204,3,0),"-")</f>
        <v>6</v>
      </c>
      <c r="G147" s="7" t="str">
        <f>IFERROR(VLOOKUP($B147,Quantitativos!$B$9:F5204,4,0),"-")</f>
        <v>UND</v>
      </c>
      <c r="H147" s="21">
        <f>IFERROR(IF($C147="PRÓPRIA",VLOOKUP($E147,CPU!$C$9:Q5114,7,0),0),0)</f>
        <v>38</v>
      </c>
      <c r="I147" s="21">
        <f>IFERROR(IF($C147="PRÓPRIA",VLOOKUP($E147,CPU!$C$9:Q5114,13,0),0),0)</f>
        <v>29.88</v>
      </c>
      <c r="J147" s="21">
        <f t="shared" si="112"/>
        <v>67.88</v>
      </c>
      <c r="K147" s="30">
        <f t="shared" si="113"/>
        <v>0.23810000000000001</v>
      </c>
      <c r="L147" s="21">
        <f t="shared" si="114"/>
        <v>282.27999999999997</v>
      </c>
      <c r="M147" s="21">
        <f t="shared" si="115"/>
        <v>221.96</v>
      </c>
      <c r="N147" s="21">
        <f t="shared" si="116"/>
        <v>504.24</v>
      </c>
    </row>
    <row r="148" spans="2:14" x14ac:dyDescent="0.25">
      <c r="B148" s="7" t="s">
        <v>558</v>
      </c>
      <c r="C148" s="7" t="s">
        <v>626</v>
      </c>
      <c r="D148" s="7" t="str">
        <f>IFERROR(IF($C148="PRÓPRIA",VLOOKUP($E148,CPU!$C$9:Q5105,15,0),0),"-")</f>
        <v>CP-08</v>
      </c>
      <c r="E148" s="18" t="str">
        <f>IFERROR(VLOOKUP($B148,Quantitativos!$B$9:F5205,2,0),"-")</f>
        <v>ESPELHO CRISTAL, ESPESSURA 4 MM, COM PARAFUSOS DE FIXAÇÃO</v>
      </c>
      <c r="F148" s="29">
        <f>IFERROR(VLOOKUP($B148,Quantitativos!$B$9:F5205,3,0),"-")</f>
        <v>3.24</v>
      </c>
      <c r="G148" s="7" t="str">
        <f>IFERROR(VLOOKUP($B148,Quantitativos!$B$9:F5205,4,0),"-")</f>
        <v>M2</v>
      </c>
      <c r="H148" s="21">
        <f>IFERROR(IF($C148="PRÓPRIA",VLOOKUP($E148,CPU!$C$9:Q5115,7,0),0),0)</f>
        <v>325.72000000000003</v>
      </c>
      <c r="I148" s="21">
        <f>IFERROR(IF($C148="PRÓPRIA",VLOOKUP($E148,CPU!$C$9:Q5115,13,0),0),0)</f>
        <v>54.92</v>
      </c>
      <c r="J148" s="21">
        <f t="shared" ref="J148" si="117">IFERROR(H148+I148,0)</f>
        <v>380.64000000000004</v>
      </c>
      <c r="K148" s="30">
        <f t="shared" si="113"/>
        <v>0.23810000000000001</v>
      </c>
      <c r="L148" s="21">
        <f t="shared" ref="L148" si="118">IFERROR(TRUNC((1+$K148)*$F148*H148,2),0)</f>
        <v>1306.5999999999999</v>
      </c>
      <c r="M148" s="21">
        <f t="shared" ref="M148" si="119">IFERROR(TRUNC((1+$K148)*$F148*I148,2),0)</f>
        <v>220.3</v>
      </c>
      <c r="N148" s="21">
        <f t="shared" ref="N148" si="120">IFERROR(L148+M148,0)</f>
        <v>1526.8999999999999</v>
      </c>
    </row>
    <row r="149" spans="2:14" x14ac:dyDescent="0.25">
      <c r="B149" s="64" t="s">
        <v>615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31">
        <f>SUM(L117:L148)</f>
        <v>55358.959999999992</v>
      </c>
      <c r="M149" s="31">
        <f>SUM(M117:M148)</f>
        <v>12033.999999999998</v>
      </c>
      <c r="N149" s="31">
        <f>SUM(N117:N148)</f>
        <v>67392.959999999992</v>
      </c>
    </row>
    <row r="150" spans="2:14" x14ac:dyDescent="0.25">
      <c r="B150" s="28">
        <v>13</v>
      </c>
      <c r="C150" s="62" t="s">
        <v>463</v>
      </c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3"/>
    </row>
    <row r="151" spans="2:14" ht="15" customHeight="1" x14ac:dyDescent="0.25">
      <c r="B151" s="55" t="s">
        <v>464</v>
      </c>
      <c r="C151" s="60" t="s">
        <v>465</v>
      </c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</row>
    <row r="152" spans="2:14" ht="25.5" x14ac:dyDescent="0.25">
      <c r="B152" s="7" t="s">
        <v>559</v>
      </c>
      <c r="C152" s="7" t="s">
        <v>123</v>
      </c>
      <c r="D152" s="7">
        <v>91924</v>
      </c>
      <c r="E152" s="18" t="str">
        <f>IFERROR(VLOOKUP($B152,Quantitativos!$B$9:F5245,2,0),"-")</f>
        <v>CABO DE COBRE FLEXÍVEL ISOLADO, 1,5 MM², ANTI-CHAMA 450/750 V, PARA CIRCUITOS TERMINAIS - FORNECIMENTO E INSTALAÇÃO</v>
      </c>
      <c r="F152" s="29">
        <f>IFERROR(VLOOKUP($B152,Quantitativos!$B$9:F5245,3,0),"-")</f>
        <v>710</v>
      </c>
      <c r="G152" s="7" t="str">
        <f>IFERROR(VLOOKUP($B152,Quantitativos!$B$9:F5245,4,0),"-")</f>
        <v>M</v>
      </c>
      <c r="H152" s="21">
        <v>2.02</v>
      </c>
      <c r="I152" s="21">
        <v>0.93</v>
      </c>
      <c r="J152" s="21">
        <f t="shared" ref="J152:J156" si="121">IFERROR(H152+I152,0)</f>
        <v>2.95</v>
      </c>
      <c r="K152" s="30">
        <f>$C$197</f>
        <v>0.23810000000000001</v>
      </c>
      <c r="L152" s="21">
        <f t="shared" ref="L152:L156" si="122">IFERROR(TRUNC((1+$K152)*$F152*H152,2),0)</f>
        <v>1775.68</v>
      </c>
      <c r="M152" s="21">
        <f t="shared" ref="M152:M156" si="123">IFERROR(TRUNC((1+$K152)*$F152*I152,2),0)</f>
        <v>817.51</v>
      </c>
      <c r="N152" s="21">
        <f t="shared" ref="N152:N156" si="124">IFERROR(L152+M152,0)</f>
        <v>2593.19</v>
      </c>
    </row>
    <row r="153" spans="2:14" ht="25.5" x14ac:dyDescent="0.25">
      <c r="B153" s="7" t="s">
        <v>561</v>
      </c>
      <c r="C153" s="7" t="s">
        <v>123</v>
      </c>
      <c r="D153" s="7">
        <v>91926</v>
      </c>
      <c r="E153" s="18" t="str">
        <f>IFERROR(VLOOKUP($B153,Quantitativos!$B$9:F5246,2,0),"-")</f>
        <v>CABO DE COBRE FLEXÍVEL ISOLADO, 2,5 MM², ANTI-CHAMA 450/750 V, PARA CIRCUITOS TERMINAIS - FORNECIMENTO E INSTALAÇÃO</v>
      </c>
      <c r="F153" s="29">
        <f>IFERROR(VLOOKUP($B153,Quantitativos!$B$9:F5246,3,0),"-")</f>
        <v>1960</v>
      </c>
      <c r="G153" s="7" t="str">
        <f>IFERROR(VLOOKUP($B153,Quantitativos!$B$9:F5246,4,0),"-")</f>
        <v>M</v>
      </c>
      <c r="H153" s="21">
        <v>3.11</v>
      </c>
      <c r="I153" s="21">
        <v>1.17</v>
      </c>
      <c r="J153" s="21">
        <f t="shared" si="121"/>
        <v>4.2799999999999994</v>
      </c>
      <c r="K153" s="30">
        <f>$C$197</f>
        <v>0.23810000000000001</v>
      </c>
      <c r="L153" s="21">
        <f t="shared" si="122"/>
        <v>7546.96</v>
      </c>
      <c r="M153" s="21">
        <f t="shared" si="123"/>
        <v>2839.21</v>
      </c>
      <c r="N153" s="21">
        <f t="shared" si="124"/>
        <v>10386.17</v>
      </c>
    </row>
    <row r="154" spans="2:14" ht="25.5" x14ac:dyDescent="0.25">
      <c r="B154" s="7" t="s">
        <v>562</v>
      </c>
      <c r="C154" s="7" t="s">
        <v>123</v>
      </c>
      <c r="D154" s="7">
        <v>91928</v>
      </c>
      <c r="E154" s="18" t="str">
        <f>IFERROR(VLOOKUP($B154,Quantitativos!$B$9:F5247,2,0),"-")</f>
        <v>CABO DE COBRE FLEXÍVEL ISOLADO, 4 MM², ANTI-CHAMA 450/750 V, PARA CIRCUITOS TERMINAIS - FORNECIMENTO E INSTALAÇÃO</v>
      </c>
      <c r="F154" s="29">
        <f>IFERROR(VLOOKUP($B154,Quantitativos!$B$9:F5247,3,0),"-")</f>
        <v>175</v>
      </c>
      <c r="G154" s="7" t="str">
        <f>IFERROR(VLOOKUP($B154,Quantitativos!$B$9:F5247,4,0),"-")</f>
        <v>M</v>
      </c>
      <c r="H154" s="21">
        <v>5.08</v>
      </c>
      <c r="I154" s="21">
        <v>1.57</v>
      </c>
      <c r="J154" s="21">
        <f t="shared" si="121"/>
        <v>6.65</v>
      </c>
      <c r="K154" s="30">
        <f>$C$197</f>
        <v>0.23810000000000001</v>
      </c>
      <c r="L154" s="21">
        <f t="shared" si="122"/>
        <v>1100.67</v>
      </c>
      <c r="M154" s="21">
        <f t="shared" si="123"/>
        <v>340.16</v>
      </c>
      <c r="N154" s="21">
        <f t="shared" si="124"/>
        <v>1440.8300000000002</v>
      </c>
    </row>
    <row r="155" spans="2:14" ht="25.5" x14ac:dyDescent="0.25">
      <c r="B155" s="7" t="s">
        <v>563</v>
      </c>
      <c r="C155" s="7" t="s">
        <v>123</v>
      </c>
      <c r="D155" s="7">
        <v>91930</v>
      </c>
      <c r="E155" s="18" t="str">
        <f>IFERROR(VLOOKUP($B155,Quantitativos!$B$9:F5248,2,0),"-")</f>
        <v>CABO DE COBRE FLEXÍVEL ISOLADO, 6 MM², ANTI-CHAMA 450/750 V, PARA CIRCUITOS TERMINAIS - FORNECIMENTO E INSTALAÇÃO</v>
      </c>
      <c r="F155" s="29">
        <f>IFERROR(VLOOKUP($B155,Quantitativos!$B$9:F5248,3,0),"-")</f>
        <v>210</v>
      </c>
      <c r="G155" s="7" t="str">
        <f>IFERROR(VLOOKUP($B155,Quantitativos!$B$9:F5248,4,0),"-")</f>
        <v>M</v>
      </c>
      <c r="H155" s="21">
        <v>7.24</v>
      </c>
      <c r="I155" s="21">
        <v>2.06</v>
      </c>
      <c r="J155" s="21">
        <f t="shared" si="121"/>
        <v>9.3000000000000007</v>
      </c>
      <c r="K155" s="30">
        <f>$C$197</f>
        <v>0.23810000000000001</v>
      </c>
      <c r="L155" s="21">
        <f t="shared" si="122"/>
        <v>1882.4</v>
      </c>
      <c r="M155" s="21">
        <f t="shared" si="123"/>
        <v>535.6</v>
      </c>
      <c r="N155" s="21">
        <f t="shared" si="124"/>
        <v>2418</v>
      </c>
    </row>
    <row r="156" spans="2:14" ht="25.5" x14ac:dyDescent="0.25">
      <c r="B156" s="7" t="s">
        <v>564</v>
      </c>
      <c r="C156" s="7" t="s">
        <v>123</v>
      </c>
      <c r="D156" s="7">
        <v>91934</v>
      </c>
      <c r="E156" s="18" t="str">
        <f>IFERROR(VLOOKUP($B156,Quantitativos!$B$9:F5246,2,0),"-")</f>
        <v>CABO DE COBRE FLEXÍVEL ISOLADO, 16 MM², ANTI-CHAMA 450/750 V, PARA CIRCUITOS TERMINAIS - FORNECIMENTO E INSTALAÇÃO</v>
      </c>
      <c r="F156" s="29">
        <f>IFERROR(VLOOKUP($B156,Quantitativos!$B$9:F5246,3,0),"-")</f>
        <v>20</v>
      </c>
      <c r="G156" s="7" t="str">
        <f>IFERROR(VLOOKUP($B156,Quantitativos!$B$9:F5246,4,0),"-")</f>
        <v>M</v>
      </c>
      <c r="H156" s="21">
        <v>19.420000000000002</v>
      </c>
      <c r="I156" s="21">
        <v>4.62</v>
      </c>
      <c r="J156" s="21">
        <f t="shared" si="121"/>
        <v>24.040000000000003</v>
      </c>
      <c r="K156" s="30">
        <f>$C$197</f>
        <v>0.23810000000000001</v>
      </c>
      <c r="L156" s="21">
        <f t="shared" si="122"/>
        <v>480.87</v>
      </c>
      <c r="M156" s="21">
        <f t="shared" si="123"/>
        <v>114.4</v>
      </c>
      <c r="N156" s="21">
        <f t="shared" si="124"/>
        <v>595.27</v>
      </c>
    </row>
    <row r="157" spans="2:14" ht="15" customHeight="1" x14ac:dyDescent="0.25">
      <c r="B157" s="55" t="s">
        <v>484</v>
      </c>
      <c r="C157" s="60" t="s">
        <v>485</v>
      </c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</row>
    <row r="158" spans="2:14" ht="25.5" x14ac:dyDescent="0.25">
      <c r="B158" s="7" t="s">
        <v>565</v>
      </c>
      <c r="C158" s="7" t="s">
        <v>123</v>
      </c>
      <c r="D158" s="7">
        <v>91850</v>
      </c>
      <c r="E158" s="18" t="str">
        <f>IFERROR(VLOOKUP($B158,Quantitativos!$B$9:F5243,2,0),"-")</f>
        <v>ELETRODUTO FLEXÍVEL CORRUGADO, DN 40 MM (1 1/4"), PARA CIRCUITOS TERMINAIS, INSTALADO EM LAJE - FORNECIMENTO E INSTALAÇÃO</v>
      </c>
      <c r="F158" s="29">
        <f>IFERROR(VLOOKUP($B158,Quantitativos!$B$9:F5243,3,0),"-")</f>
        <v>715</v>
      </c>
      <c r="G158" s="7" t="str">
        <f>IFERROR(VLOOKUP($B158,Quantitativos!$B$9:F5243,4,0),"-")</f>
        <v>M</v>
      </c>
      <c r="H158" s="21">
        <v>8.5</v>
      </c>
      <c r="I158" s="21">
        <v>4.18</v>
      </c>
      <c r="J158" s="21">
        <f t="shared" ref="J158" si="125">IFERROR(H158+I158,0)</f>
        <v>12.68</v>
      </c>
      <c r="K158" s="30">
        <f t="shared" ref="K158:K163" si="126">$C$197</f>
        <v>0.23810000000000001</v>
      </c>
      <c r="L158" s="21">
        <f t="shared" ref="L158" si="127">IFERROR(TRUNC((1+$K158)*$F158*H158,2),0)</f>
        <v>7524.55</v>
      </c>
      <c r="M158" s="21">
        <f t="shared" ref="M158" si="128">IFERROR(TRUNC((1+$K158)*$F158*I158,2),0)</f>
        <v>3700.3</v>
      </c>
      <c r="N158" s="21">
        <f t="shared" ref="N158" si="129">IFERROR(L158+M158,0)</f>
        <v>11224.85</v>
      </c>
    </row>
    <row r="159" spans="2:14" ht="25.5" x14ac:dyDescent="0.25">
      <c r="B159" s="7" t="s">
        <v>560</v>
      </c>
      <c r="C159" s="7" t="s">
        <v>123</v>
      </c>
      <c r="D159" s="7">
        <v>91873</v>
      </c>
      <c r="E159" s="18" t="str">
        <f>IFERROR(VLOOKUP($B159,Quantitativos!$B$9:F5244,2,0),"-")</f>
        <v>ELETRODUTO RÍGIDO ROSCÁVEL, PVC, DN 40 MM (1 1/4"), PARA CIRCUITOS TERMINAIS, INSTALADO EM PAREDE - FORNECIMENTO E INSTALAÇÃO</v>
      </c>
      <c r="F159" s="29">
        <f>IFERROR(VLOOKUP($B159,Quantitativos!$B$9:F5244,3,0),"-")</f>
        <v>96</v>
      </c>
      <c r="G159" s="7" t="str">
        <f>IFERROR(VLOOKUP($B159,Quantitativos!$B$9:F5244,4,0),"-")</f>
        <v>M</v>
      </c>
      <c r="H159" s="21">
        <v>16.41</v>
      </c>
      <c r="I159" s="21">
        <v>8.89</v>
      </c>
      <c r="J159" s="21">
        <f t="shared" ref="J159:J163" si="130">IFERROR(H159+I159,0)</f>
        <v>25.3</v>
      </c>
      <c r="K159" s="30">
        <f t="shared" si="126"/>
        <v>0.23810000000000001</v>
      </c>
      <c r="L159" s="21">
        <f t="shared" ref="L159:L163" si="131">IFERROR(TRUNC((1+$K159)*$F159*H159,2),0)</f>
        <v>1950.45</v>
      </c>
      <c r="M159" s="21">
        <f t="shared" ref="M159:M163" si="132">IFERROR(TRUNC((1+$K159)*$F159*I159,2),0)</f>
        <v>1056.6400000000001</v>
      </c>
      <c r="N159" s="21">
        <f t="shared" ref="N159:N163" si="133">IFERROR(L159+M159,0)</f>
        <v>3007.09</v>
      </c>
    </row>
    <row r="160" spans="2:14" ht="25.5" x14ac:dyDescent="0.25">
      <c r="B160" s="7" t="s">
        <v>566</v>
      </c>
      <c r="C160" s="7" t="s">
        <v>123</v>
      </c>
      <c r="D160" s="7">
        <v>92865</v>
      </c>
      <c r="E160" s="18" t="str">
        <f>IFERROR(VLOOKUP($B160,Quantitativos!$B$9:F5245,2,0),"-")</f>
        <v>CAIXA OCTOGONAL 4" X 4", METÁLICA, INSTALADA EM LAJE - FORNECIMENTO E INSTALAÇÃO</v>
      </c>
      <c r="F160" s="29">
        <f>IFERROR(VLOOKUP($B160,Quantitativos!$B$9:F5245,3,0),"-")</f>
        <v>43</v>
      </c>
      <c r="G160" s="7" t="str">
        <f>IFERROR(VLOOKUP($B160,Quantitativos!$B$9:F5245,4,0),"-")</f>
        <v>UND</v>
      </c>
      <c r="H160" s="21">
        <v>6.02</v>
      </c>
      <c r="I160" s="21">
        <v>9.02</v>
      </c>
      <c r="J160" s="21">
        <f t="shared" si="130"/>
        <v>15.04</v>
      </c>
      <c r="K160" s="30">
        <f t="shared" si="126"/>
        <v>0.23810000000000001</v>
      </c>
      <c r="L160" s="21">
        <f t="shared" si="131"/>
        <v>320.49</v>
      </c>
      <c r="M160" s="21">
        <f t="shared" si="132"/>
        <v>480.2</v>
      </c>
      <c r="N160" s="21">
        <f t="shared" si="133"/>
        <v>800.69</v>
      </c>
    </row>
    <row r="161" spans="2:14" ht="25.5" x14ac:dyDescent="0.25">
      <c r="B161" s="7" t="s">
        <v>567</v>
      </c>
      <c r="C161" s="7" t="s">
        <v>123</v>
      </c>
      <c r="D161" s="7">
        <v>92867</v>
      </c>
      <c r="E161" s="18" t="str">
        <f>IFERROR(VLOOKUP($B161,Quantitativos!$B$9:F5246,2,0),"-")</f>
        <v>CAIXA RETANGULAR 4" X 2" ALTA (2,00 M DO PISO), METÁLICA, INSTALADA EM PAREDE - FORNECIMENTO E INSTALAÇÃO</v>
      </c>
      <c r="F161" s="29">
        <f>IFERROR(VLOOKUP($B161,Quantitativos!$B$9:F5246,3,0),"-")</f>
        <v>21</v>
      </c>
      <c r="G161" s="7" t="str">
        <f>IFERROR(VLOOKUP($B161,Quantitativos!$B$9:F5246,4,0),"-")</f>
        <v>UND</v>
      </c>
      <c r="H161" s="21">
        <v>8.14</v>
      </c>
      <c r="I161" s="21">
        <v>22.51</v>
      </c>
      <c r="J161" s="21">
        <f t="shared" si="130"/>
        <v>30.650000000000002</v>
      </c>
      <c r="K161" s="30">
        <f t="shared" si="126"/>
        <v>0.23810000000000001</v>
      </c>
      <c r="L161" s="21">
        <f t="shared" si="131"/>
        <v>211.64</v>
      </c>
      <c r="M161" s="21">
        <f t="shared" si="132"/>
        <v>585.26</v>
      </c>
      <c r="N161" s="21">
        <f t="shared" si="133"/>
        <v>796.9</v>
      </c>
    </row>
    <row r="162" spans="2:14" ht="25.5" x14ac:dyDescent="0.25">
      <c r="B162" s="7" t="s">
        <v>568</v>
      </c>
      <c r="C162" s="7" t="s">
        <v>123</v>
      </c>
      <c r="D162" s="7">
        <v>92868</v>
      </c>
      <c r="E162" s="18" t="str">
        <f>IFERROR(VLOOKUP($B162,Quantitativos!$B$9:F5247,2,0),"-")</f>
        <v>CAIXA RETANGULAR 4" X 2" MÉDIA (1,30 M DO PISO), METÁLICA, INSTALADA EM PAREDE - FORNECIMENTO E INSTALAÇÃO</v>
      </c>
      <c r="F162" s="29">
        <f>IFERROR(VLOOKUP($B162,Quantitativos!$B$9:F5247,3,0),"-")</f>
        <v>28</v>
      </c>
      <c r="G162" s="7" t="str">
        <f>IFERROR(VLOOKUP($B162,Quantitativos!$B$9:F5247,4,0),"-")</f>
        <v>UND</v>
      </c>
      <c r="H162" s="21">
        <v>5.31</v>
      </c>
      <c r="I162" s="21">
        <v>11.98</v>
      </c>
      <c r="J162" s="21">
        <f t="shared" si="130"/>
        <v>17.29</v>
      </c>
      <c r="K162" s="30">
        <f t="shared" si="126"/>
        <v>0.23810000000000001</v>
      </c>
      <c r="L162" s="21">
        <f t="shared" si="131"/>
        <v>184.08</v>
      </c>
      <c r="M162" s="21">
        <f t="shared" si="132"/>
        <v>415.3</v>
      </c>
      <c r="N162" s="21">
        <f t="shared" si="133"/>
        <v>599.38</v>
      </c>
    </row>
    <row r="163" spans="2:14" ht="25.5" x14ac:dyDescent="0.25">
      <c r="B163" s="7" t="s">
        <v>569</v>
      </c>
      <c r="C163" s="7" t="s">
        <v>123</v>
      </c>
      <c r="D163" s="7">
        <v>92869</v>
      </c>
      <c r="E163" s="18" t="str">
        <f>IFERROR(VLOOKUP($B163,Quantitativos!$B$9:F5248,2,0),"-")</f>
        <v>CAIXA RETANGULAR 4" X 2" BAIXA (0,30 M DO PISO), METÁLICA, INSTALADA EM PAREDE - FORNECIMENTO E INSTALAÇÃO</v>
      </c>
      <c r="F163" s="29">
        <f>IFERROR(VLOOKUP($B163,Quantitativos!$B$9:F5248,3,0),"-")</f>
        <v>72</v>
      </c>
      <c r="G163" s="7" t="str">
        <f>IFERROR(VLOOKUP($B163,Quantitativos!$B$9:F5248,4,0),"-")</f>
        <v>UND</v>
      </c>
      <c r="H163" s="21">
        <v>3.91</v>
      </c>
      <c r="I163" s="21">
        <v>6.83</v>
      </c>
      <c r="J163" s="21">
        <f t="shared" si="130"/>
        <v>10.74</v>
      </c>
      <c r="K163" s="30">
        <f t="shared" si="126"/>
        <v>0.23810000000000001</v>
      </c>
      <c r="L163" s="21">
        <f t="shared" si="131"/>
        <v>348.54</v>
      </c>
      <c r="M163" s="21">
        <f t="shared" si="132"/>
        <v>608.84</v>
      </c>
      <c r="N163" s="21">
        <f t="shared" si="133"/>
        <v>957.38000000000011</v>
      </c>
    </row>
    <row r="164" spans="2:14" ht="15" customHeight="1" x14ac:dyDescent="0.25">
      <c r="B164" s="55" t="s">
        <v>489</v>
      </c>
      <c r="C164" s="60" t="s">
        <v>616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</row>
    <row r="165" spans="2:14" ht="25.5" x14ac:dyDescent="0.25">
      <c r="B165" s="7" t="s">
        <v>570</v>
      </c>
      <c r="C165" s="7" t="s">
        <v>123</v>
      </c>
      <c r="D165" s="7">
        <v>97586</v>
      </c>
      <c r="E165" s="18" t="str">
        <f>IFERROR(VLOOKUP($B165,Quantitativos!$B$9:F5247,2,0),"-")</f>
        <v>LUMINÁRIA TIPO CALHA, DE SOBREPOR, COM 2 LÂMPADAS TUBULARES FLUORESCENTES DE 36 W, COM REATOR DE PARTIDA RÁPIDA - FORNECIMENTO E INSTALAÇÃO</v>
      </c>
      <c r="F165" s="29">
        <f>IFERROR(VLOOKUP($B165,Quantitativos!$B$9:F5247,3,0),"-")</f>
        <v>38</v>
      </c>
      <c r="G165" s="7" t="str">
        <f>IFERROR(VLOOKUP($B165,Quantitativos!$B$9:F5247,4,0),"-")</f>
        <v>UND</v>
      </c>
      <c r="H165" s="21">
        <v>147.15</v>
      </c>
      <c r="I165" s="21">
        <v>12.3</v>
      </c>
      <c r="J165" s="21">
        <f t="shared" ref="J165:J167" si="134">IFERROR(H165+I165,0)</f>
        <v>159.45000000000002</v>
      </c>
      <c r="K165" s="30">
        <f>$C$197</f>
        <v>0.23810000000000001</v>
      </c>
      <c r="L165" s="21">
        <f t="shared" ref="L165:L167" si="135">IFERROR(TRUNC((1+$K165)*$F165*H165,2),0)</f>
        <v>6923.08</v>
      </c>
      <c r="M165" s="21">
        <f t="shared" ref="M165:M167" si="136">IFERROR(TRUNC((1+$K165)*$F165*I165,2),0)</f>
        <v>578.67999999999995</v>
      </c>
      <c r="N165" s="21">
        <f t="shared" ref="N165:N167" si="137">IFERROR(L165+M165,0)</f>
        <v>7501.76</v>
      </c>
    </row>
    <row r="166" spans="2:14" ht="25.5" x14ac:dyDescent="0.25">
      <c r="B166" s="7" t="s">
        <v>571</v>
      </c>
      <c r="C166" s="7" t="s">
        <v>123</v>
      </c>
      <c r="D166" s="7">
        <v>97593</v>
      </c>
      <c r="E166" s="18" t="str">
        <f>IFERROR(VLOOKUP($B166,Quantitativos!$B$9:F5255,2,0),"-")</f>
        <v>LUMINÁRIA TIPO SPOT, DE SOBREPOR, COM 1 LÂMPADA FLUORESCENTE DE 15 W, SEM REATOR - FORNECIMENTO E INSTALAÇÃO</v>
      </c>
      <c r="F166" s="29">
        <f>IFERROR(VLOOKUP($B166,Quantitativos!$B$9:F5255,3,0),"-")</f>
        <v>6</v>
      </c>
      <c r="G166" s="7" t="str">
        <f>IFERROR(VLOOKUP($B166,Quantitativos!$B$9:F5255,4,0),"-")</f>
        <v>UND</v>
      </c>
      <c r="H166" s="21">
        <v>131.55000000000001</v>
      </c>
      <c r="I166" s="21">
        <v>13.32</v>
      </c>
      <c r="J166" s="21">
        <f t="shared" si="134"/>
        <v>144.87</v>
      </c>
      <c r="K166" s="30">
        <f>$C$197</f>
        <v>0.23810000000000001</v>
      </c>
      <c r="L166" s="21">
        <f t="shared" si="135"/>
        <v>977.23</v>
      </c>
      <c r="M166" s="21">
        <f t="shared" si="136"/>
        <v>98.94</v>
      </c>
      <c r="N166" s="21">
        <f t="shared" si="137"/>
        <v>1076.17</v>
      </c>
    </row>
    <row r="167" spans="2:14" ht="25.5" x14ac:dyDescent="0.25">
      <c r="B167" s="7" t="s">
        <v>572</v>
      </c>
      <c r="C167" s="7" t="s">
        <v>123</v>
      </c>
      <c r="D167" s="7">
        <v>97606</v>
      </c>
      <c r="E167" s="18" t="str">
        <f>IFERROR(VLOOKUP($B167,Quantitativos!$B$9:F5248,2,0),"-")</f>
        <v>LUMINÁRIA ARANDELA TIPO MEIA LUA, DE SOBREPOR, COM 1 LÂMPADA FLUORESCENTE DE 15 W, SEM REATOR - FORNECIMENTO E INSTALAÇÃO</v>
      </c>
      <c r="F167" s="29">
        <f>IFERROR(VLOOKUP($B167,Quantitativos!$B$9:F5248,3,0),"-")</f>
        <v>2</v>
      </c>
      <c r="G167" s="7" t="str">
        <f>IFERROR(VLOOKUP($B167,Quantitativos!$B$9:F5248,4,0),"-")</f>
        <v>UND</v>
      </c>
      <c r="H167" s="21">
        <v>87.3</v>
      </c>
      <c r="I167" s="21">
        <v>14.04</v>
      </c>
      <c r="J167" s="21">
        <f t="shared" si="134"/>
        <v>101.34</v>
      </c>
      <c r="K167" s="30">
        <f>$C$197</f>
        <v>0.23810000000000001</v>
      </c>
      <c r="L167" s="21">
        <f t="shared" si="135"/>
        <v>216.17</v>
      </c>
      <c r="M167" s="21">
        <f t="shared" si="136"/>
        <v>34.76</v>
      </c>
      <c r="N167" s="21">
        <f t="shared" si="137"/>
        <v>250.92999999999998</v>
      </c>
    </row>
    <row r="168" spans="2:14" ht="15" customHeight="1" x14ac:dyDescent="0.25">
      <c r="B168" s="55" t="s">
        <v>573</v>
      </c>
      <c r="C168" s="60" t="s">
        <v>497</v>
      </c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2:14" ht="25.5" x14ac:dyDescent="0.25">
      <c r="B169" s="7" t="s">
        <v>574</v>
      </c>
      <c r="C169" s="7" t="s">
        <v>123</v>
      </c>
      <c r="D169" s="7">
        <v>91953</v>
      </c>
      <c r="E169" s="18" t="str">
        <f>IFERROR(VLOOKUP($B169,Quantitativos!$B$9:F5253,2,0),"-")</f>
        <v>INTERRUPTOR SIMPLES (1 MÓDULO), 10A/250V, INCLUINDO SUPORTE E PLACA - FORNECIMENTO E INSTALAÇÃO</v>
      </c>
      <c r="F169" s="29">
        <f>IFERROR(VLOOKUP($B169,Quantitativos!$B$9:F5253,3,0),"-")</f>
        <v>15</v>
      </c>
      <c r="G169" s="7" t="str">
        <f>IFERROR(VLOOKUP($B169,Quantitativos!$B$9:F5253,4,0),"-")</f>
        <v>UND</v>
      </c>
      <c r="H169" s="21">
        <v>17.989999999999998</v>
      </c>
      <c r="I169" s="21">
        <v>14.63</v>
      </c>
      <c r="J169" s="21">
        <f t="shared" ref="J169" si="138">IFERROR(H169+I169,0)</f>
        <v>32.619999999999997</v>
      </c>
      <c r="K169" s="30">
        <f t="shared" ref="K169:K174" si="139">$C$197</f>
        <v>0.23810000000000001</v>
      </c>
      <c r="L169" s="21">
        <f t="shared" ref="L169" si="140">IFERROR(TRUNC((1+$K169)*$F169*H169,2),0)</f>
        <v>334.1</v>
      </c>
      <c r="M169" s="21">
        <f t="shared" ref="M169" si="141">IFERROR(TRUNC((1+$K169)*$F169*I169,2),0)</f>
        <v>271.7</v>
      </c>
      <c r="N169" s="21">
        <f t="shared" ref="N169" si="142">IFERROR(L169+M169,0)</f>
        <v>605.79999999999995</v>
      </c>
    </row>
    <row r="170" spans="2:14" ht="25.5" x14ac:dyDescent="0.25">
      <c r="B170" s="7" t="s">
        <v>575</v>
      </c>
      <c r="C170" s="7" t="s">
        <v>123</v>
      </c>
      <c r="D170" s="7">
        <v>91959</v>
      </c>
      <c r="E170" s="18" t="str">
        <f>IFERROR(VLOOKUP($B170,Quantitativos!$B$9:F5254,2,0),"-")</f>
        <v>INTERRUPTOR SIMPLES (2 MÓDULOS), 10A/250V, INCLUINDO SUPORTE E PLACA - FORNECIMENTO E INSTALAÇÃO</v>
      </c>
      <c r="F170" s="29">
        <f>IFERROR(VLOOKUP($B170,Quantitativos!$B$9:F5254,3,0),"-")</f>
        <v>7</v>
      </c>
      <c r="G170" s="7" t="str">
        <f>IFERROR(VLOOKUP($B170,Quantitativos!$B$9:F5254,4,0),"-")</f>
        <v>UND</v>
      </c>
      <c r="H170" s="21">
        <v>28.44</v>
      </c>
      <c r="I170" s="21">
        <v>21.51</v>
      </c>
      <c r="J170" s="21">
        <f t="shared" ref="J170:J174" si="143">IFERROR(H170+I170,0)</f>
        <v>49.95</v>
      </c>
      <c r="K170" s="30">
        <f t="shared" si="139"/>
        <v>0.23810000000000001</v>
      </c>
      <c r="L170" s="21">
        <f t="shared" ref="L170:L174" si="144">IFERROR(TRUNC((1+$K170)*$F170*H170,2),0)</f>
        <v>246.48</v>
      </c>
      <c r="M170" s="21">
        <f t="shared" ref="M170:M174" si="145">IFERROR(TRUNC((1+$K170)*$F170*I170,2),0)</f>
        <v>186.42</v>
      </c>
      <c r="N170" s="21">
        <f t="shared" ref="N170:N174" si="146">IFERROR(L170+M170,0)</f>
        <v>432.9</v>
      </c>
    </row>
    <row r="171" spans="2:14" ht="25.5" x14ac:dyDescent="0.25">
      <c r="B171" s="7" t="s">
        <v>576</v>
      </c>
      <c r="C171" s="7" t="s">
        <v>123</v>
      </c>
      <c r="D171" s="7">
        <v>92023</v>
      </c>
      <c r="E171" s="18" t="str">
        <f>IFERROR(VLOOKUP($B171,Quantitativos!$B$9:F5255,2,0),"-")</f>
        <v>INTERRUPTOR SIMPLES (1 MÓDULO) COM 1 TOMADA DE EMBUTIR 2P+T 10 A, INCLUINDO SUPORTE E PLACA - FORNECIMENTO E INSTALAÇÃO</v>
      </c>
      <c r="F171" s="29">
        <f>IFERROR(VLOOKUP($B171,Quantitativos!$B$9:F5255,3,0),"-")</f>
        <v>6</v>
      </c>
      <c r="G171" s="7" t="str">
        <f>IFERROR(VLOOKUP($B171,Quantitativos!$B$9:F5255,4,0),"-")</f>
        <v>UND</v>
      </c>
      <c r="H171" s="21">
        <v>30.55</v>
      </c>
      <c r="I171" s="21">
        <v>24.92</v>
      </c>
      <c r="J171" s="21">
        <f t="shared" si="143"/>
        <v>55.47</v>
      </c>
      <c r="K171" s="30">
        <f t="shared" si="139"/>
        <v>0.23810000000000001</v>
      </c>
      <c r="L171" s="21">
        <f t="shared" si="144"/>
        <v>226.94</v>
      </c>
      <c r="M171" s="21">
        <f t="shared" si="145"/>
        <v>185.12</v>
      </c>
      <c r="N171" s="21">
        <f t="shared" si="146"/>
        <v>412.06</v>
      </c>
    </row>
    <row r="172" spans="2:14" ht="25.5" x14ac:dyDescent="0.25">
      <c r="B172" s="7" t="s">
        <v>577</v>
      </c>
      <c r="C172" s="7" t="s">
        <v>123</v>
      </c>
      <c r="D172" s="7">
        <v>91993</v>
      </c>
      <c r="E172" s="18" t="str">
        <f>IFERROR(VLOOKUP($B172,Quantitativos!$B$9:F5256,2,0),"-")</f>
        <v>TOMADA ALTA DE EMBUTIR (1 MÓDULO), 2P+T 20 A, INCLUINDO SUPORTE E PLACA - FORNECIMENTO E INSTALAÇÃO</v>
      </c>
      <c r="F172" s="29">
        <f>IFERROR(VLOOKUP($B172,Quantitativos!$B$9:F5256,3,0),"-")</f>
        <v>21</v>
      </c>
      <c r="G172" s="7" t="str">
        <f>IFERROR(VLOOKUP($B172,Quantitativos!$B$9:F5256,4,0),"-")</f>
        <v>UND</v>
      </c>
      <c r="H172" s="21">
        <v>24.95</v>
      </c>
      <c r="I172" s="21">
        <v>25.96</v>
      </c>
      <c r="J172" s="21">
        <f t="shared" si="143"/>
        <v>50.91</v>
      </c>
      <c r="K172" s="30">
        <f t="shared" si="139"/>
        <v>0.23810000000000001</v>
      </c>
      <c r="L172" s="21">
        <f t="shared" si="144"/>
        <v>648.70000000000005</v>
      </c>
      <c r="M172" s="21">
        <f t="shared" si="145"/>
        <v>674.96</v>
      </c>
      <c r="N172" s="21">
        <f t="shared" si="146"/>
        <v>1323.66</v>
      </c>
    </row>
    <row r="173" spans="2:14" ht="25.5" x14ac:dyDescent="0.25">
      <c r="B173" s="7" t="s">
        <v>578</v>
      </c>
      <c r="C173" s="7" t="s">
        <v>123</v>
      </c>
      <c r="D173" s="7">
        <v>92000</v>
      </c>
      <c r="E173" s="18" t="str">
        <f>IFERROR(VLOOKUP($B173,Quantitativos!$B$9:F5257,2,0),"-")</f>
        <v>TOMADA BAIXA DE EMBUTIR (1 MÓDULO), 2P+T 10 A, INCLUINDO SUPORTE E PLACA - FORNECIMENTO E INSTALAÇÃO</v>
      </c>
      <c r="F173" s="29">
        <f>IFERROR(VLOOKUP($B173,Quantitativos!$B$9:F5257,3,0),"-")</f>
        <v>39</v>
      </c>
      <c r="G173" s="7" t="str">
        <f>IFERROR(VLOOKUP($B173,Quantitativos!$B$9:F5257,4,0),"-")</f>
        <v>UND</v>
      </c>
      <c r="H173" s="21">
        <v>19.28</v>
      </c>
      <c r="I173" s="21">
        <v>15.03</v>
      </c>
      <c r="J173" s="21">
        <f t="shared" si="143"/>
        <v>34.31</v>
      </c>
      <c r="K173" s="30">
        <f t="shared" si="139"/>
        <v>0.23810000000000001</v>
      </c>
      <c r="L173" s="21">
        <f t="shared" si="144"/>
        <v>930.95</v>
      </c>
      <c r="M173" s="21">
        <f t="shared" si="145"/>
        <v>725.73</v>
      </c>
      <c r="N173" s="21">
        <f t="shared" si="146"/>
        <v>1656.68</v>
      </c>
    </row>
    <row r="174" spans="2:14" ht="25.5" x14ac:dyDescent="0.25">
      <c r="B174" s="7" t="s">
        <v>579</v>
      </c>
      <c r="C174" s="7" t="s">
        <v>123</v>
      </c>
      <c r="D174" s="7">
        <v>92008</v>
      </c>
      <c r="E174" s="18" t="str">
        <f>IFERROR(VLOOKUP($B174,Quantitativos!$B$9:F5258,2,0),"-")</f>
        <v>TOMADA BAIXA DE EMBUTIR (2 MÓDULOS), 2P+T 10 A, INCLUINDO SUPORTE E PLACA - FORNECIMENTO E INSTALAÇÃO</v>
      </c>
      <c r="F174" s="29">
        <f>IFERROR(VLOOKUP($B174,Quantitativos!$B$9:F5258,3,0),"-")</f>
        <v>11</v>
      </c>
      <c r="G174" s="7" t="str">
        <f>IFERROR(VLOOKUP($B174,Quantitativos!$B$9:F5258,4,0),"-")</f>
        <v>UND</v>
      </c>
      <c r="H174" s="21">
        <v>31</v>
      </c>
      <c r="I174" s="21">
        <v>22.29</v>
      </c>
      <c r="J174" s="21">
        <f t="shared" si="143"/>
        <v>53.29</v>
      </c>
      <c r="K174" s="30">
        <f t="shared" si="139"/>
        <v>0.23810000000000001</v>
      </c>
      <c r="L174" s="21">
        <f t="shared" si="144"/>
        <v>422.19</v>
      </c>
      <c r="M174" s="21">
        <f t="shared" si="145"/>
        <v>303.56</v>
      </c>
      <c r="N174" s="21">
        <f t="shared" si="146"/>
        <v>725.75</v>
      </c>
    </row>
    <row r="175" spans="2:14" ht="15" customHeight="1" x14ac:dyDescent="0.25">
      <c r="B175" s="55" t="s">
        <v>467</v>
      </c>
      <c r="C175" s="60" t="s">
        <v>468</v>
      </c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</row>
    <row r="176" spans="2:14" ht="25.5" x14ac:dyDescent="0.25">
      <c r="B176" s="7" t="s">
        <v>580</v>
      </c>
      <c r="C176" s="7" t="s">
        <v>123</v>
      </c>
      <c r="D176" s="7">
        <v>101512</v>
      </c>
      <c r="E176" s="18" t="str">
        <f>IFERROR(VLOOKUP($B176,Quantitativos!$B$9:F5235,2,0),"-")</f>
        <v>ENTRADA DE ENERGIA ELÉTRICA, AÉREA, TRIFÁSICA, COM CAIXA DE EMBUTIR, CABO DE 35 MM2 E DISJUNTOR DIN 50A (NÃO INCLUSO O POSTE DE CONCRETO)</v>
      </c>
      <c r="F176" s="29">
        <f>IFERROR(VLOOKUP($B176,Quantitativos!$B$9:F5235,3,0),"-")</f>
        <v>1</v>
      </c>
      <c r="G176" s="7" t="str">
        <f>IFERROR(VLOOKUP($B176,Quantitativos!$B$9:F5235,4,0),"-")</f>
        <v>UND</v>
      </c>
      <c r="H176" s="21">
        <f>7.23+2097.82</f>
        <v>2105.0500000000002</v>
      </c>
      <c r="I176" s="21">
        <v>383.69</v>
      </c>
      <c r="J176" s="21">
        <f t="shared" ref="J176" si="147">IFERROR(H176+I176,0)</f>
        <v>2488.7400000000002</v>
      </c>
      <c r="K176" s="30">
        <f t="shared" ref="K176:K184" si="148">$C$197</f>
        <v>0.23810000000000001</v>
      </c>
      <c r="L176" s="21">
        <f t="shared" ref="L176" si="149">IFERROR(TRUNC((1+$K176)*$F176*H176,2),0)</f>
        <v>2606.2600000000002</v>
      </c>
      <c r="M176" s="21">
        <f t="shared" ref="M176" si="150">IFERROR(TRUNC((1+$K176)*$F176*I176,2),0)</f>
        <v>475.04</v>
      </c>
      <c r="N176" s="21">
        <f t="shared" ref="N176" si="151">IFERROR(L176+M176,0)</f>
        <v>3081.3</v>
      </c>
    </row>
    <row r="177" spans="2:14" ht="25.5" x14ac:dyDescent="0.25">
      <c r="B177" s="7" t="s">
        <v>581</v>
      </c>
      <c r="C177" s="7" t="s">
        <v>627</v>
      </c>
      <c r="D177" s="7">
        <v>5044</v>
      </c>
      <c r="E177" s="18" t="str">
        <f>IFERROR(VLOOKUP($B177,Quantitativos!$B$9:F5236,2,0),"-")</f>
        <v>POSTE DE CONCRETO ARMADO DE SEÇÃO CIRCULAR, EXTENSÃO DE 9,00 M, RESISTÊNCIA DE 200 A 300 DAN, TIPO C-14</v>
      </c>
      <c r="F177" s="29">
        <f>IFERROR(VLOOKUP($B177,Quantitativos!$B$9:F5236,3,0),"-")</f>
        <v>1</v>
      </c>
      <c r="G177" s="7" t="str">
        <f>IFERROR(VLOOKUP($B177,Quantitativos!$B$9:F5236,4,0),"-")</f>
        <v>UND</v>
      </c>
      <c r="H177" s="21">
        <v>1169.0999999999999</v>
      </c>
      <c r="I177" s="21">
        <f>IFERROR(IF($C177="PRÓPRIA",VLOOKUP($E177,CPU!$C$9:Q5146,13,0),0),0)</f>
        <v>0</v>
      </c>
      <c r="J177" s="21">
        <f t="shared" ref="J177:J184" si="152">IFERROR(H177+I177,0)</f>
        <v>1169.0999999999999</v>
      </c>
      <c r="K177" s="30">
        <f t="shared" si="148"/>
        <v>0.23810000000000001</v>
      </c>
      <c r="L177" s="21">
        <f t="shared" ref="L177:L184" si="153">IFERROR(TRUNC((1+$K177)*$F177*H177,2),0)</f>
        <v>1447.46</v>
      </c>
      <c r="M177" s="21">
        <f t="shared" ref="M177:M184" si="154">IFERROR(TRUNC((1+$K177)*$F177*I177,2),0)</f>
        <v>0</v>
      </c>
      <c r="N177" s="21">
        <f t="shared" ref="N177:N184" si="155">IFERROR(L177+M177,0)</f>
        <v>1447.46</v>
      </c>
    </row>
    <row r="178" spans="2:14" ht="38.25" x14ac:dyDescent="0.25">
      <c r="B178" s="7" t="s">
        <v>582</v>
      </c>
      <c r="C178" s="7" t="s">
        <v>123</v>
      </c>
      <c r="D178" s="7">
        <v>100600</v>
      </c>
      <c r="E178" s="18" t="str">
        <f>IFERROR(VLOOKUP($B178,Quantitativos!$B$9:F5237,2,0),"-")</f>
        <v>ASSENTAMENTO DE POSTE DE CONCRETO COM COMPRIMENTO NOMINAL DE 9 M, CARGA NOMINAL DE 300 DAN, ENGASTAMENTO BASE CONCRETADA COM 1 M DE CONCRETO E 0,5 M DE SOLO (NÃO INCLUI FORNECIMENTO)</v>
      </c>
      <c r="F178" s="29">
        <f>IFERROR(VLOOKUP($B178,Quantitativos!$B$9:F5237,3,0),"-")</f>
        <v>1</v>
      </c>
      <c r="G178" s="7" t="str">
        <f>IFERROR(VLOOKUP($B178,Quantitativos!$B$9:F5237,4,0),"-")</f>
        <v>UND</v>
      </c>
      <c r="H178" s="21">
        <f>7.3+456.88+0.21</f>
        <v>464.39</v>
      </c>
      <c r="I178" s="21">
        <v>139.59</v>
      </c>
      <c r="J178" s="21">
        <f t="shared" si="152"/>
        <v>603.98</v>
      </c>
      <c r="K178" s="30">
        <f t="shared" si="148"/>
        <v>0.23810000000000001</v>
      </c>
      <c r="L178" s="21">
        <f t="shared" si="153"/>
        <v>574.96</v>
      </c>
      <c r="M178" s="21">
        <f t="shared" si="154"/>
        <v>172.82</v>
      </c>
      <c r="N178" s="21">
        <f t="shared" si="155"/>
        <v>747.78</v>
      </c>
    </row>
    <row r="179" spans="2:14" ht="38.25" x14ac:dyDescent="0.25">
      <c r="B179" s="7" t="s">
        <v>583</v>
      </c>
      <c r="C179" s="7" t="s">
        <v>123</v>
      </c>
      <c r="D179" s="7">
        <v>101879</v>
      </c>
      <c r="E179" s="18" t="str">
        <f>IFERROR(VLOOKUP($B179,Quantitativos!$B$9:F5238,2,0),"-")</f>
        <v>QUADRO DE DISTRIBUIÇÃO DE ENERGIA EM CHAPA DE AÇO GALVANIZADO, DE EMBUTIR, COM BARRAMENTO TRIFÁSICO, PARA 24 DISJUNTORES DIN 100A - FORNECIMENTO E INSTALAÇÃO</v>
      </c>
      <c r="F179" s="29">
        <f>IFERROR(VLOOKUP($B179,Quantitativos!$B$9:F5238,3,0),"-")</f>
        <v>2</v>
      </c>
      <c r="G179" s="7" t="str">
        <f>IFERROR(VLOOKUP($B179,Quantitativos!$B$9:F5238,4,0),"-")</f>
        <v>UND</v>
      </c>
      <c r="H179" s="21">
        <v>580.41999999999996</v>
      </c>
      <c r="I179" s="21">
        <v>24.24</v>
      </c>
      <c r="J179" s="21">
        <f t="shared" si="152"/>
        <v>604.66</v>
      </c>
      <c r="K179" s="30">
        <f t="shared" si="148"/>
        <v>0.23810000000000001</v>
      </c>
      <c r="L179" s="21">
        <f t="shared" si="153"/>
        <v>1437.23</v>
      </c>
      <c r="M179" s="21">
        <f t="shared" si="154"/>
        <v>60.02</v>
      </c>
      <c r="N179" s="21">
        <f t="shared" si="155"/>
        <v>1497.25</v>
      </c>
    </row>
    <row r="180" spans="2:14" ht="25.5" x14ac:dyDescent="0.25">
      <c r="B180" s="7" t="s">
        <v>585</v>
      </c>
      <c r="C180" s="7" t="s">
        <v>123</v>
      </c>
      <c r="D180" s="7">
        <v>93654</v>
      </c>
      <c r="E180" s="18" t="str">
        <f>IFERROR(VLOOKUP($B180,Quantitativos!$B$9:F5239,2,0),"-")</f>
        <v>DISJUNTOR MONOPOLAR TIPO DIN, CORRENTE NOMINAL DE 16A - FORNECIMENTO E INSTALAÇÃO</v>
      </c>
      <c r="F180" s="29">
        <f>IFERROR(VLOOKUP($B180,Quantitativos!$B$9:F5239,3,0),"-")</f>
        <v>15</v>
      </c>
      <c r="G180" s="7" t="str">
        <f>IFERROR(VLOOKUP($B180,Quantitativos!$B$9:F5239,4,0),"-")</f>
        <v>UND</v>
      </c>
      <c r="H180" s="21">
        <v>9.7100000000000009</v>
      </c>
      <c r="I180" s="21">
        <v>1.91</v>
      </c>
      <c r="J180" s="21">
        <f t="shared" si="152"/>
        <v>11.620000000000001</v>
      </c>
      <c r="K180" s="30">
        <f t="shared" si="148"/>
        <v>0.23810000000000001</v>
      </c>
      <c r="L180" s="21">
        <f t="shared" si="153"/>
        <v>180.32</v>
      </c>
      <c r="M180" s="21">
        <f t="shared" si="154"/>
        <v>35.47</v>
      </c>
      <c r="N180" s="21">
        <f t="shared" si="155"/>
        <v>215.79</v>
      </c>
    </row>
    <row r="181" spans="2:14" ht="25.5" x14ac:dyDescent="0.25">
      <c r="B181" s="7" t="s">
        <v>584</v>
      </c>
      <c r="C181" s="7" t="s">
        <v>123</v>
      </c>
      <c r="D181" s="7">
        <v>93655</v>
      </c>
      <c r="E181" s="18" t="str">
        <f>IFERROR(VLOOKUP($B181,Quantitativos!$B$9:F5240,2,0),"-")</f>
        <v>DISJUNTOR MONOPOLAR TIPO DIN, CORRENTE NOMINAL DE 20A - FORNECIMENTO E INSTALAÇÃO</v>
      </c>
      <c r="F181" s="29">
        <f>IFERROR(VLOOKUP($B181,Quantitativos!$B$9:F5240,3,0),"-")</f>
        <v>7</v>
      </c>
      <c r="G181" s="7" t="str">
        <f>IFERROR(VLOOKUP($B181,Quantitativos!$B$9:F5240,4,0),"-")</f>
        <v>UND</v>
      </c>
      <c r="H181" s="21">
        <v>10.26</v>
      </c>
      <c r="I181" s="21">
        <v>2.68</v>
      </c>
      <c r="J181" s="21">
        <f t="shared" si="152"/>
        <v>12.94</v>
      </c>
      <c r="K181" s="30">
        <f t="shared" si="148"/>
        <v>0.23810000000000001</v>
      </c>
      <c r="L181" s="21">
        <f t="shared" si="153"/>
        <v>88.92</v>
      </c>
      <c r="M181" s="21">
        <f t="shared" si="154"/>
        <v>23.22</v>
      </c>
      <c r="N181" s="21">
        <f t="shared" si="155"/>
        <v>112.14</v>
      </c>
    </row>
    <row r="182" spans="2:14" ht="25.5" x14ac:dyDescent="0.25">
      <c r="B182" s="7" t="s">
        <v>586</v>
      </c>
      <c r="C182" s="7" t="s">
        <v>123</v>
      </c>
      <c r="D182" s="7">
        <v>93657</v>
      </c>
      <c r="E182" s="18" t="str">
        <f>IFERROR(VLOOKUP($B182,Quantitativos!$B$9:F5241,2,0),"-")</f>
        <v>DISJUNTOR MONOPOLAR TIPO DIN, CORRENTE NOMINAL DE 32A - FORNECIMENTO E INSTALAÇÃO</v>
      </c>
      <c r="F182" s="29">
        <f>IFERROR(VLOOKUP($B182,Quantitativos!$B$9:F5241,3,0),"-")</f>
        <v>1</v>
      </c>
      <c r="G182" s="7" t="str">
        <f>IFERROR(VLOOKUP($B182,Quantitativos!$B$9:F5241,4,0),"-")</f>
        <v>UND</v>
      </c>
      <c r="H182" s="21">
        <v>10.83</v>
      </c>
      <c r="I182" s="21">
        <v>3.69</v>
      </c>
      <c r="J182" s="21">
        <f t="shared" si="152"/>
        <v>14.52</v>
      </c>
      <c r="K182" s="30">
        <f t="shared" si="148"/>
        <v>0.23810000000000001</v>
      </c>
      <c r="L182" s="21">
        <f t="shared" si="153"/>
        <v>13.4</v>
      </c>
      <c r="M182" s="21">
        <f t="shared" si="154"/>
        <v>4.5599999999999996</v>
      </c>
      <c r="N182" s="21">
        <f t="shared" si="155"/>
        <v>17.96</v>
      </c>
    </row>
    <row r="183" spans="2:14" ht="25.5" x14ac:dyDescent="0.25">
      <c r="B183" s="7" t="s">
        <v>587</v>
      </c>
      <c r="C183" s="7" t="s">
        <v>123</v>
      </c>
      <c r="D183" s="7">
        <v>93658</v>
      </c>
      <c r="E183" s="18" t="str">
        <f>IFERROR(VLOOKUP($B183,Quantitativos!$B$9:F5242,2,0),"-")</f>
        <v>DISJUNTOR MONOPOLAR TIPO DIN, CORRENTE NOMINAL DE 40A - FORNECIMENTO E INSTALAÇÃO</v>
      </c>
      <c r="F183" s="29">
        <f>IFERROR(VLOOKUP($B183,Quantitativos!$B$9:F5242,3,0),"-")</f>
        <v>4</v>
      </c>
      <c r="G183" s="7" t="str">
        <f>IFERROR(VLOOKUP($B183,Quantitativos!$B$9:F5242,4,0),"-")</f>
        <v>UND</v>
      </c>
      <c r="H183" s="21">
        <v>15.33</v>
      </c>
      <c r="I183" s="21">
        <v>5.49</v>
      </c>
      <c r="J183" s="21">
        <f t="shared" si="152"/>
        <v>20.82</v>
      </c>
      <c r="K183" s="30">
        <f t="shared" si="148"/>
        <v>0.23810000000000001</v>
      </c>
      <c r="L183" s="21">
        <f t="shared" si="153"/>
        <v>75.92</v>
      </c>
      <c r="M183" s="21">
        <f t="shared" si="154"/>
        <v>27.18</v>
      </c>
      <c r="N183" s="21">
        <f t="shared" si="155"/>
        <v>103.1</v>
      </c>
    </row>
    <row r="184" spans="2:14" ht="25.5" x14ac:dyDescent="0.25">
      <c r="B184" s="7" t="s">
        <v>588</v>
      </c>
      <c r="C184" s="7" t="s">
        <v>123</v>
      </c>
      <c r="D184" s="7">
        <v>93659</v>
      </c>
      <c r="E184" s="18" t="str">
        <f>IFERROR(VLOOKUP($B184,Quantitativos!$B$9:F5243,2,0),"-")</f>
        <v>DISJUNTOR MONOPOLAR TIPO DIN, CORRENTE NOMINAL DE 50A - FORNECIMENTO E INSTALAÇÃO</v>
      </c>
      <c r="F184" s="29">
        <f>IFERROR(VLOOKUP($B184,Quantitativos!$B$9:F5243,3,0),"-")</f>
        <v>1</v>
      </c>
      <c r="G184" s="7" t="str">
        <f>IFERROR(VLOOKUP($B184,Quantitativos!$B$9:F5243,4,0),"-")</f>
        <v>UND</v>
      </c>
      <c r="H184" s="21">
        <v>16.309999999999999</v>
      </c>
      <c r="I184" s="21">
        <v>7.66</v>
      </c>
      <c r="J184" s="21">
        <f t="shared" si="152"/>
        <v>23.97</v>
      </c>
      <c r="K184" s="30">
        <f t="shared" si="148"/>
        <v>0.23810000000000001</v>
      </c>
      <c r="L184" s="21">
        <f t="shared" si="153"/>
        <v>20.190000000000001</v>
      </c>
      <c r="M184" s="21">
        <f t="shared" si="154"/>
        <v>9.48</v>
      </c>
      <c r="N184" s="21">
        <f t="shared" si="155"/>
        <v>29.67</v>
      </c>
    </row>
    <row r="185" spans="2:14" x14ac:dyDescent="0.25">
      <c r="B185" s="64" t="s">
        <v>617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31">
        <f>SUM(L152:L184)</f>
        <v>40696.83</v>
      </c>
      <c r="M185" s="31">
        <f>SUM(M152:M184)</f>
        <v>15361.080000000002</v>
      </c>
      <c r="N185" s="31">
        <f>SUM(N152:N184)</f>
        <v>56057.91</v>
      </c>
    </row>
    <row r="186" spans="2:14" x14ac:dyDescent="0.25">
      <c r="B186" s="28">
        <v>14</v>
      </c>
      <c r="C186" s="62" t="s">
        <v>589</v>
      </c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3"/>
    </row>
    <row r="187" spans="2:14" ht="38.25" x14ac:dyDescent="0.25">
      <c r="B187" s="7" t="s">
        <v>590</v>
      </c>
      <c r="C187" s="7" t="s">
        <v>599</v>
      </c>
      <c r="D187" s="7">
        <v>13303</v>
      </c>
      <c r="E187" s="18" t="str">
        <f>IFERROR(VLOOKUP($B187,Quantitativos!$B$9:F5142,2,0),"-")</f>
        <v>PLATAFORMA ELEVATÓRIA PARA PNE, CABINADA, MODELO UNILATERAL (UN140/1 ENTRADA)/OPOSTO (OP140/2 ENTRADA), DIMENSÃO DE CABINE 900X1400X2000 MM, AÇO CARBONO PINTADO, FECHAMENTO EM ALUMÍNIO COMPOSTO (ACM), 2 PARADAS</v>
      </c>
      <c r="F187" s="29">
        <f>IFERROR(VLOOKUP($B187,Quantitativos!$B$9:F5142,3,0),"-")</f>
        <v>1</v>
      </c>
      <c r="G187" s="7" t="str">
        <f>IFERROR(VLOOKUP($B187,Quantitativos!$B$9:F5142,4,0),"-")</f>
        <v>UND</v>
      </c>
      <c r="H187" s="21">
        <v>43641</v>
      </c>
      <c r="I187" s="21">
        <f>IFERROR(IF($C187="PRÓPRIA",VLOOKUP($E187,CPU!$C$9:Q5050,13,0),0),0)</f>
        <v>0</v>
      </c>
      <c r="J187" s="21">
        <f t="shared" ref="J187" si="156">IFERROR(H187+I187,0)</f>
        <v>43641</v>
      </c>
      <c r="K187" s="30">
        <f>$C$197</f>
        <v>0.23810000000000001</v>
      </c>
      <c r="L187" s="21">
        <f t="shared" ref="L187" si="157">IFERROR(TRUNC((1+$K187)*$F187*H187,2),0)</f>
        <v>54031.92</v>
      </c>
      <c r="M187" s="21">
        <f t="shared" ref="M187" si="158">IFERROR(TRUNC((1+$K187)*$F187*I187,2),0)</f>
        <v>0</v>
      </c>
      <c r="N187" s="21">
        <f t="shared" ref="N187" si="159">IFERROR(L187+M187,0)</f>
        <v>54031.92</v>
      </c>
    </row>
    <row r="188" spans="2:14" x14ac:dyDescent="0.25">
      <c r="B188" s="64" t="s">
        <v>618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31">
        <f>SUM(L187:L187)</f>
        <v>54031.92</v>
      </c>
      <c r="M188" s="31">
        <f>SUM(M187:M187)</f>
        <v>0</v>
      </c>
      <c r="N188" s="31">
        <f>SUM(N187:N187)</f>
        <v>54031.92</v>
      </c>
    </row>
    <row r="189" spans="2:14" x14ac:dyDescent="0.25">
      <c r="B189" s="28">
        <v>15</v>
      </c>
      <c r="C189" s="62" t="s">
        <v>62</v>
      </c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3"/>
    </row>
    <row r="190" spans="2:14" x14ac:dyDescent="0.25">
      <c r="B190" s="7" t="s">
        <v>591</v>
      </c>
      <c r="C190" s="7" t="s">
        <v>123</v>
      </c>
      <c r="D190" s="7">
        <v>99803</v>
      </c>
      <c r="E190" s="18" t="str">
        <f>IFERROR(VLOOKUP($B190,Quantitativos!$B$9:F5168,2,0),"-")</f>
        <v>LIMPEZA DE PISO CERÂMICO OU PORCELANATO COM PANO ÚMIDO</v>
      </c>
      <c r="F190" s="29">
        <f>IFERROR(VLOOKUP($B190,Quantitativos!$B$9:F5168,3,0),"-")</f>
        <v>458.9</v>
      </c>
      <c r="G190" s="7" t="str">
        <f>IFERROR(VLOOKUP($B190,Quantitativos!$B$9:F5168,4,0),"-")</f>
        <v>M2</v>
      </c>
      <c r="H190" s="21">
        <v>0.49</v>
      </c>
      <c r="I190" s="21">
        <v>1.57</v>
      </c>
      <c r="J190" s="21">
        <f t="shared" ref="J190" si="160">IFERROR(H190+I190,0)</f>
        <v>2.06</v>
      </c>
      <c r="K190" s="30">
        <f>$C$197</f>
        <v>0.23810000000000001</v>
      </c>
      <c r="L190" s="21">
        <f t="shared" ref="L190" si="161">IFERROR(TRUNC((1+$K190)*$F190*H190,2),0)</f>
        <v>278.39999999999998</v>
      </c>
      <c r="M190" s="21">
        <f t="shared" ref="M190" si="162">IFERROR(TRUNC((1+$K190)*$F190*I190,2),0)</f>
        <v>892.01</v>
      </c>
      <c r="N190" s="21">
        <f t="shared" ref="N190" si="163">IFERROR(L190+M190,0)</f>
        <v>1170.4099999999999</v>
      </c>
    </row>
    <row r="191" spans="2:14" x14ac:dyDescent="0.25">
      <c r="B191" s="64" t="s">
        <v>619</v>
      </c>
      <c r="C191" s="64"/>
      <c r="D191" s="64"/>
      <c r="E191" s="64"/>
      <c r="F191" s="64"/>
      <c r="G191" s="64"/>
      <c r="H191" s="64"/>
      <c r="I191" s="64"/>
      <c r="J191" s="64"/>
      <c r="K191" s="64"/>
      <c r="L191" s="31">
        <f>SUM(L190:L190)</f>
        <v>278.39999999999998</v>
      </c>
      <c r="M191" s="31">
        <f t="shared" ref="M191:N191" si="164">SUM(M190:M190)</f>
        <v>892.01</v>
      </c>
      <c r="N191" s="31">
        <f t="shared" si="164"/>
        <v>1170.4099999999999</v>
      </c>
    </row>
    <row r="192" spans="2:14" ht="24.95" customHeight="1" x14ac:dyDescent="0.25">
      <c r="B192" s="77" t="s">
        <v>63</v>
      </c>
      <c r="C192" s="78"/>
      <c r="D192" s="78"/>
      <c r="E192" s="78"/>
      <c r="F192" s="78"/>
      <c r="G192" s="78"/>
      <c r="H192" s="78"/>
      <c r="I192" s="78"/>
      <c r="J192" s="78"/>
      <c r="K192" s="78"/>
      <c r="L192" s="32">
        <f>L12+L20+L35+L45+L53+L65+L73+L77+L91+L99+L114+L149+L185+L188+L191</f>
        <v>764263.88</v>
      </c>
      <c r="M192" s="32">
        <f t="shared" ref="M192:N192" si="165">M12+M20+M35+M45+M53+M65+M73+M77+M91+M99+M114+M149+M185+M188+M191</f>
        <v>347001.88999999996</v>
      </c>
      <c r="N192" s="32">
        <f t="shared" si="165"/>
        <v>1111265.7699999998</v>
      </c>
    </row>
    <row r="194" spans="2:14" ht="15.75" x14ac:dyDescent="0.25">
      <c r="B194" s="33" t="s">
        <v>64</v>
      </c>
    </row>
    <row r="195" spans="2:14" ht="15.75" x14ac:dyDescent="0.25">
      <c r="B195" s="34" t="s">
        <v>625</v>
      </c>
      <c r="L195" s="35" t="s">
        <v>66</v>
      </c>
      <c r="M195" s="76">
        <f ca="1">TODAY()</f>
        <v>45236</v>
      </c>
      <c r="N195" s="76"/>
    </row>
    <row r="196" spans="2:14" ht="15.75" x14ac:dyDescent="0.25">
      <c r="B196" s="34" t="s">
        <v>79</v>
      </c>
    </row>
    <row r="197" spans="2:14" ht="15.75" x14ac:dyDescent="0.25">
      <c r="B197" s="34" t="s">
        <v>94</v>
      </c>
      <c r="C197" s="50">
        <v>0.23810000000000001</v>
      </c>
    </row>
    <row r="198" spans="2:14" ht="15.75" x14ac:dyDescent="0.25">
      <c r="B198" s="34" t="s">
        <v>65</v>
      </c>
    </row>
  </sheetData>
  <mergeCells count="46">
    <mergeCell ref="C186:N186"/>
    <mergeCell ref="B188:K188"/>
    <mergeCell ref="C189:N189"/>
    <mergeCell ref="B191:K191"/>
    <mergeCell ref="M195:N195"/>
    <mergeCell ref="B192:K192"/>
    <mergeCell ref="B12:K12"/>
    <mergeCell ref="B2:N2"/>
    <mergeCell ref="B3:N3"/>
    <mergeCell ref="B4:N4"/>
    <mergeCell ref="B5:N5"/>
    <mergeCell ref="B6:N6"/>
    <mergeCell ref="B7:B8"/>
    <mergeCell ref="C7:C8"/>
    <mergeCell ref="D7:D8"/>
    <mergeCell ref="E7:E8"/>
    <mergeCell ref="F7:F8"/>
    <mergeCell ref="G7:G8"/>
    <mergeCell ref="H7:J7"/>
    <mergeCell ref="L7:N7"/>
    <mergeCell ref="K7:K8"/>
    <mergeCell ref="C9:N9"/>
    <mergeCell ref="C13:N13"/>
    <mergeCell ref="B20:K20"/>
    <mergeCell ref="C21:N21"/>
    <mergeCell ref="B35:K35"/>
    <mergeCell ref="C36:N36"/>
    <mergeCell ref="B45:K45"/>
    <mergeCell ref="C46:N46"/>
    <mergeCell ref="B53:K53"/>
    <mergeCell ref="C54:N54"/>
    <mergeCell ref="B65:K65"/>
    <mergeCell ref="C66:N66"/>
    <mergeCell ref="B73:K73"/>
    <mergeCell ref="C74:N74"/>
    <mergeCell ref="B77:K77"/>
    <mergeCell ref="C78:N78"/>
    <mergeCell ref="C115:N115"/>
    <mergeCell ref="B149:K149"/>
    <mergeCell ref="C150:N150"/>
    <mergeCell ref="B185:K185"/>
    <mergeCell ref="B91:K91"/>
    <mergeCell ref="C92:N92"/>
    <mergeCell ref="B99:K99"/>
    <mergeCell ref="C100:N100"/>
    <mergeCell ref="B114:K114"/>
  </mergeCells>
  <pageMargins left="0.51181102362204722" right="0.51181102362204722" top="0.78740157480314965" bottom="0.78740157480314965" header="0.31496062992125984" footer="0.31496062992125984"/>
  <pageSetup paperSize="9" scale="53" fitToHeight="0" orientation="landscape" r:id="rId1"/>
  <ignoredErrors>
    <ignoredError sqref="E11:F11 G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6"/>
  <sheetViews>
    <sheetView showGridLines="0" view="pageBreakPreview" zoomScale="85" zoomScaleNormal="100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3" width="142.85546875" style="2" customWidth="1"/>
    <col min="4" max="4" width="13.85546875" style="2" customWidth="1"/>
    <col min="5" max="5" width="9.140625" style="2"/>
    <col min="6" max="6" width="71.42578125" style="2" customWidth="1"/>
    <col min="7" max="16384" width="9.140625" style="2"/>
  </cols>
  <sheetData>
    <row r="2" spans="2:6" ht="21" customHeight="1" x14ac:dyDescent="0.25">
      <c r="B2" s="65" t="s">
        <v>108</v>
      </c>
      <c r="C2" s="66"/>
      <c r="D2" s="66"/>
      <c r="E2" s="66"/>
      <c r="F2" s="67"/>
    </row>
    <row r="3" spans="2:6" ht="21" customHeight="1" x14ac:dyDescent="0.25">
      <c r="B3" s="68" t="s">
        <v>105</v>
      </c>
      <c r="C3" s="82"/>
      <c r="D3" s="82"/>
      <c r="E3" s="82"/>
      <c r="F3" s="70"/>
    </row>
    <row r="4" spans="2:6" ht="21" customHeight="1" x14ac:dyDescent="0.25">
      <c r="B4" s="68" t="s">
        <v>13</v>
      </c>
      <c r="C4" s="82"/>
      <c r="D4" s="82"/>
      <c r="E4" s="82"/>
      <c r="F4" s="70"/>
    </row>
    <row r="5" spans="2:6" ht="21" customHeight="1" x14ac:dyDescent="0.25">
      <c r="B5" s="71" t="s">
        <v>0</v>
      </c>
      <c r="C5" s="72"/>
      <c r="D5" s="72"/>
      <c r="E5" s="72"/>
      <c r="F5" s="73"/>
    </row>
    <row r="6" spans="2:6" ht="15.75" x14ac:dyDescent="0.25">
      <c r="B6" s="79" t="s">
        <v>80</v>
      </c>
      <c r="C6" s="80"/>
      <c r="D6" s="80"/>
      <c r="E6" s="80"/>
      <c r="F6" s="81"/>
    </row>
    <row r="7" spans="2:6" ht="15" customHeight="1" x14ac:dyDescent="0.25">
      <c r="B7" s="75" t="s">
        <v>15</v>
      </c>
      <c r="C7" s="75" t="s">
        <v>35</v>
      </c>
      <c r="D7" s="75" t="s">
        <v>36</v>
      </c>
      <c r="E7" s="75" t="s">
        <v>6</v>
      </c>
      <c r="F7" s="75" t="s">
        <v>81</v>
      </c>
    </row>
    <row r="8" spans="2:6" x14ac:dyDescent="0.25">
      <c r="B8" s="83"/>
      <c r="C8" s="83"/>
      <c r="D8" s="83"/>
      <c r="E8" s="83"/>
      <c r="F8" s="83"/>
    </row>
    <row r="9" spans="2:6" ht="15" customHeight="1" x14ac:dyDescent="0.25">
      <c r="B9" s="28">
        <v>1</v>
      </c>
      <c r="C9" s="62" t="s">
        <v>48</v>
      </c>
      <c r="D9" s="62"/>
      <c r="E9" s="62"/>
      <c r="F9" s="63"/>
    </row>
    <row r="10" spans="2:6" x14ac:dyDescent="0.25">
      <c r="B10" s="45" t="s">
        <v>43</v>
      </c>
      <c r="C10" s="46" t="s">
        <v>121</v>
      </c>
      <c r="D10" s="47">
        <f>25+(15)*8</f>
        <v>145</v>
      </c>
      <c r="E10" s="45" t="s">
        <v>55</v>
      </c>
      <c r="F10" s="53" t="s">
        <v>199</v>
      </c>
    </row>
    <row r="11" spans="2:6" x14ac:dyDescent="0.25">
      <c r="B11" s="45" t="s">
        <v>44</v>
      </c>
      <c r="C11" s="46" t="s">
        <v>113</v>
      </c>
      <c r="D11" s="47">
        <v>8</v>
      </c>
      <c r="E11" s="45" t="s">
        <v>114</v>
      </c>
      <c r="F11" s="48"/>
    </row>
    <row r="12" spans="2:6" ht="15" customHeight="1" x14ac:dyDescent="0.25">
      <c r="B12" s="28">
        <v>2</v>
      </c>
      <c r="C12" s="62" t="s">
        <v>42</v>
      </c>
      <c r="D12" s="62"/>
      <c r="E12" s="62"/>
      <c r="F12" s="63"/>
    </row>
    <row r="13" spans="2:6" x14ac:dyDescent="0.25">
      <c r="B13" s="45" t="s">
        <v>50</v>
      </c>
      <c r="C13" s="46" t="s">
        <v>47</v>
      </c>
      <c r="D13" s="47">
        <f>2.4*1.2</f>
        <v>2.88</v>
      </c>
      <c r="E13" s="45" t="s">
        <v>45</v>
      </c>
      <c r="F13" s="53" t="s">
        <v>126</v>
      </c>
    </row>
    <row r="14" spans="2:6" x14ac:dyDescent="0.25">
      <c r="B14" s="45" t="s">
        <v>115</v>
      </c>
      <c r="C14" s="46" t="s">
        <v>120</v>
      </c>
      <c r="D14" s="47">
        <v>458.9</v>
      </c>
      <c r="E14" s="45" t="s">
        <v>45</v>
      </c>
      <c r="F14" s="53" t="s">
        <v>127</v>
      </c>
    </row>
    <row r="15" spans="2:6" x14ac:dyDescent="0.25">
      <c r="B15" s="45" t="s">
        <v>116</v>
      </c>
      <c r="C15" s="46" t="s">
        <v>128</v>
      </c>
      <c r="D15" s="47">
        <f>16*3</f>
        <v>48</v>
      </c>
      <c r="E15" s="45" t="s">
        <v>45</v>
      </c>
      <c r="F15" s="53" t="s">
        <v>200</v>
      </c>
    </row>
    <row r="16" spans="2:6" x14ac:dyDescent="0.25">
      <c r="B16" s="45" t="s">
        <v>117</v>
      </c>
      <c r="C16" s="46" t="s">
        <v>147</v>
      </c>
      <c r="D16" s="47">
        <v>1</v>
      </c>
      <c r="E16" s="45" t="s">
        <v>6</v>
      </c>
      <c r="F16" s="48"/>
    </row>
    <row r="17" spans="2:6" x14ac:dyDescent="0.25">
      <c r="B17" s="45" t="s">
        <v>118</v>
      </c>
      <c r="C17" s="46" t="s">
        <v>158</v>
      </c>
      <c r="D17" s="47">
        <v>1</v>
      </c>
      <c r="E17" s="45" t="s">
        <v>6</v>
      </c>
      <c r="F17" s="48"/>
    </row>
    <row r="18" spans="2:6" x14ac:dyDescent="0.25">
      <c r="B18" s="45" t="s">
        <v>119</v>
      </c>
      <c r="C18" s="46" t="s">
        <v>159</v>
      </c>
      <c r="D18" s="47">
        <v>64.5</v>
      </c>
      <c r="E18" s="45" t="s">
        <v>139</v>
      </c>
      <c r="F18" s="53" t="s">
        <v>160</v>
      </c>
    </row>
    <row r="19" spans="2:6" ht="15" customHeight="1" x14ac:dyDescent="0.25">
      <c r="B19" s="28">
        <v>3</v>
      </c>
      <c r="C19" s="62" t="s">
        <v>161</v>
      </c>
      <c r="D19" s="62"/>
      <c r="E19" s="62"/>
      <c r="F19" s="63"/>
    </row>
    <row r="20" spans="2:6" x14ac:dyDescent="0.25">
      <c r="B20" s="7" t="s">
        <v>52</v>
      </c>
      <c r="C20" s="18" t="s">
        <v>162</v>
      </c>
      <c r="D20" s="29">
        <f>40*3</f>
        <v>120</v>
      </c>
      <c r="E20" s="7" t="s">
        <v>139</v>
      </c>
      <c r="F20" s="54" t="s">
        <v>201</v>
      </c>
    </row>
    <row r="21" spans="2:6" x14ac:dyDescent="0.25">
      <c r="B21" s="7" t="s">
        <v>53</v>
      </c>
      <c r="C21" s="18" t="s">
        <v>163</v>
      </c>
      <c r="D21" s="29">
        <f>40*(0.6*0.6*0.6)</f>
        <v>8.64</v>
      </c>
      <c r="E21" s="7" t="s">
        <v>164</v>
      </c>
      <c r="F21" s="54" t="s">
        <v>165</v>
      </c>
    </row>
    <row r="22" spans="2:6" x14ac:dyDescent="0.25">
      <c r="B22" s="7" t="s">
        <v>54</v>
      </c>
      <c r="C22" s="18" t="s">
        <v>166</v>
      </c>
      <c r="D22" s="29">
        <f>(0.2*0.3)*134+13.4</f>
        <v>21.439999999999998</v>
      </c>
      <c r="E22" s="7" t="s">
        <v>164</v>
      </c>
      <c r="F22" s="53" t="s">
        <v>167</v>
      </c>
    </row>
    <row r="23" spans="2:6" x14ac:dyDescent="0.25">
      <c r="B23" s="7" t="s">
        <v>82</v>
      </c>
      <c r="C23" s="18" t="s">
        <v>254</v>
      </c>
      <c r="D23" s="29">
        <f>230*0.2</f>
        <v>46</v>
      </c>
      <c r="E23" s="7" t="s">
        <v>45</v>
      </c>
      <c r="F23" s="54" t="s">
        <v>255</v>
      </c>
    </row>
    <row r="24" spans="2:6" x14ac:dyDescent="0.25">
      <c r="B24" s="7" t="s">
        <v>83</v>
      </c>
      <c r="C24" s="18" t="s">
        <v>168</v>
      </c>
      <c r="D24" s="29">
        <f>40*((0.6*0.6)*0.05)</f>
        <v>0.72</v>
      </c>
      <c r="E24" s="7" t="s">
        <v>164</v>
      </c>
      <c r="F24" s="54" t="s">
        <v>169</v>
      </c>
    </row>
    <row r="25" spans="2:6" x14ac:dyDescent="0.25">
      <c r="B25" s="7" t="s">
        <v>84</v>
      </c>
      <c r="C25" s="18" t="s">
        <v>170</v>
      </c>
      <c r="D25" s="29">
        <f>134*(0.2)*0.05</f>
        <v>1.34</v>
      </c>
      <c r="E25" s="7" t="s">
        <v>164</v>
      </c>
      <c r="F25" s="54" t="s">
        <v>171</v>
      </c>
    </row>
    <row r="26" spans="2:6" x14ac:dyDescent="0.25">
      <c r="B26" s="7" t="s">
        <v>172</v>
      </c>
      <c r="C26" s="18" t="s">
        <v>275</v>
      </c>
      <c r="D26" s="29">
        <f>(230+20)*0.05</f>
        <v>12.5</v>
      </c>
      <c r="E26" s="7" t="s">
        <v>164</v>
      </c>
      <c r="F26" s="54" t="s">
        <v>325</v>
      </c>
    </row>
    <row r="27" spans="2:6" x14ac:dyDescent="0.25">
      <c r="B27" s="7" t="s">
        <v>173</v>
      </c>
      <c r="C27" s="18" t="s">
        <v>177</v>
      </c>
      <c r="D27" s="29">
        <f>40*(0.6*0.6*4)</f>
        <v>57.599999999999994</v>
      </c>
      <c r="E27" s="7" t="s">
        <v>45</v>
      </c>
      <c r="F27" s="54" t="s">
        <v>178</v>
      </c>
    </row>
    <row r="28" spans="2:6" x14ac:dyDescent="0.25">
      <c r="B28" s="7" t="s">
        <v>174</v>
      </c>
      <c r="C28" s="18" t="s">
        <v>179</v>
      </c>
      <c r="D28" s="29">
        <f>134*(0.3)*2</f>
        <v>80.399999999999991</v>
      </c>
      <c r="E28" s="7" t="s">
        <v>45</v>
      </c>
      <c r="F28" s="54" t="s">
        <v>180</v>
      </c>
    </row>
    <row r="29" spans="2:6" x14ac:dyDescent="0.25">
      <c r="B29" s="7" t="s">
        <v>175</v>
      </c>
      <c r="C29" s="18" t="s">
        <v>181</v>
      </c>
      <c r="D29" s="29">
        <f>(ROUNDUP(134/0.2,0)*0.98)*0.154</f>
        <v>101.1164</v>
      </c>
      <c r="E29" s="7" t="s">
        <v>182</v>
      </c>
      <c r="F29" s="54" t="s">
        <v>183</v>
      </c>
    </row>
    <row r="30" spans="2:6" x14ac:dyDescent="0.25">
      <c r="B30" s="7" t="s">
        <v>176</v>
      </c>
      <c r="C30" s="18" t="s">
        <v>190</v>
      </c>
      <c r="D30" s="29">
        <f>(40*((0.54*4)*8)+134*(4))*0.963</f>
        <v>1181.7936</v>
      </c>
      <c r="E30" s="7" t="s">
        <v>182</v>
      </c>
      <c r="F30" s="54" t="s">
        <v>191</v>
      </c>
    </row>
    <row r="31" spans="2:6" x14ac:dyDescent="0.25">
      <c r="B31" s="7" t="s">
        <v>252</v>
      </c>
      <c r="C31" s="18" t="s">
        <v>184</v>
      </c>
      <c r="D31" s="29">
        <f>40*(0.6*0.6*0.6)+134*(0.2*0.3)</f>
        <v>16.68</v>
      </c>
      <c r="E31" s="7" t="s">
        <v>164</v>
      </c>
      <c r="F31" s="54" t="s">
        <v>185</v>
      </c>
    </row>
    <row r="32" spans="2:6" x14ac:dyDescent="0.25">
      <c r="B32" s="7" t="s">
        <v>253</v>
      </c>
      <c r="C32" s="18" t="s">
        <v>186</v>
      </c>
      <c r="D32" s="29">
        <f>134*(0.2*0.5)</f>
        <v>13.4</v>
      </c>
      <c r="E32" s="7" t="s">
        <v>164</v>
      </c>
      <c r="F32" s="54" t="s">
        <v>187</v>
      </c>
    </row>
    <row r="33" spans="2:6" ht="15" customHeight="1" x14ac:dyDescent="0.25">
      <c r="B33" s="28">
        <v>4</v>
      </c>
      <c r="C33" s="62" t="s">
        <v>188</v>
      </c>
      <c r="D33" s="62"/>
      <c r="E33" s="62"/>
      <c r="F33" s="63"/>
    </row>
    <row r="34" spans="2:6" x14ac:dyDescent="0.25">
      <c r="B34" s="7" t="s">
        <v>85</v>
      </c>
      <c r="C34" s="18" t="s">
        <v>189</v>
      </c>
      <c r="D34" s="29">
        <f>40*(0.2*3.1*4)*2</f>
        <v>198.40000000000003</v>
      </c>
      <c r="E34" s="7" t="s">
        <v>45</v>
      </c>
      <c r="F34" s="53" t="s">
        <v>202</v>
      </c>
    </row>
    <row r="35" spans="2:6" x14ac:dyDescent="0.25">
      <c r="B35" s="7" t="s">
        <v>86</v>
      </c>
      <c r="C35" s="18" t="s">
        <v>192</v>
      </c>
      <c r="D35" s="29">
        <f>((0.4*2+0.2)*65+(0.3*2+0.2)*102)*2</f>
        <v>293.20000000000005</v>
      </c>
      <c r="E35" s="7" t="s">
        <v>45</v>
      </c>
      <c r="F35" s="53" t="s">
        <v>203</v>
      </c>
    </row>
    <row r="36" spans="2:6" x14ac:dyDescent="0.25">
      <c r="B36" s="7" t="s">
        <v>87</v>
      </c>
      <c r="C36" s="18" t="s">
        <v>193</v>
      </c>
      <c r="D36" s="29">
        <f>((40*ROUNDUP(3.1/0.2,0)*0.64)*2+(ROUNDUP(65/0.2,0)*1.08)+(ROUNDUP(102/0.2,0)*0.86))*0.245</f>
        <v>394.15600000000001</v>
      </c>
      <c r="E36" s="7" t="s">
        <v>182</v>
      </c>
      <c r="F36" s="53" t="s">
        <v>195</v>
      </c>
    </row>
    <row r="37" spans="2:6" x14ac:dyDescent="0.25">
      <c r="B37" s="7" t="s">
        <v>88</v>
      </c>
      <c r="C37" s="18" t="s">
        <v>194</v>
      </c>
      <c r="D37" s="29">
        <f>((40*3.1*4)*2+(65*4)+(102*4))*0.617</f>
        <v>1024.22</v>
      </c>
      <c r="E37" s="7" t="s">
        <v>182</v>
      </c>
      <c r="F37" s="53" t="s">
        <v>196</v>
      </c>
    </row>
    <row r="38" spans="2:6" x14ac:dyDescent="0.25">
      <c r="B38" s="7" t="s">
        <v>89</v>
      </c>
      <c r="C38" s="18" t="s">
        <v>197</v>
      </c>
      <c r="D38" s="29">
        <f>230*2+15</f>
        <v>475</v>
      </c>
      <c r="E38" s="7" t="s">
        <v>45</v>
      </c>
      <c r="F38" s="53" t="s">
        <v>198</v>
      </c>
    </row>
    <row r="39" spans="2:6" x14ac:dyDescent="0.25">
      <c r="B39" s="7" t="s">
        <v>90</v>
      </c>
      <c r="C39" s="18" t="s">
        <v>204</v>
      </c>
      <c r="D39" s="29">
        <f>(16*(0.175*0.28)*1.5)*2+(3*1.5*0.1)+(0.1*2.75)*2</f>
        <v>3.3520000000000003</v>
      </c>
      <c r="E39" s="7" t="s">
        <v>164</v>
      </c>
      <c r="F39" s="53" t="s">
        <v>209</v>
      </c>
    </row>
    <row r="40" spans="2:6" x14ac:dyDescent="0.25">
      <c r="B40" s="7" t="s">
        <v>91</v>
      </c>
      <c r="C40" s="46" t="s">
        <v>211</v>
      </c>
      <c r="D40" s="47">
        <f>40*(0.2*0.2*3.1)*2</f>
        <v>9.9200000000000017</v>
      </c>
      <c r="E40" s="49" t="s">
        <v>164</v>
      </c>
      <c r="F40" s="53" t="s">
        <v>212</v>
      </c>
    </row>
    <row r="41" spans="2:6" x14ac:dyDescent="0.25">
      <c r="B41" s="7" t="s">
        <v>210</v>
      </c>
      <c r="C41" s="46" t="s">
        <v>213</v>
      </c>
      <c r="D41" s="47">
        <f>(65*(0.4*0.2)+102*(0.3*0.2))*2</f>
        <v>22.64</v>
      </c>
      <c r="E41" s="49" t="s">
        <v>164</v>
      </c>
      <c r="F41" s="53" t="s">
        <v>214</v>
      </c>
    </row>
    <row r="42" spans="2:6" ht="15" customHeight="1" x14ac:dyDescent="0.25">
      <c r="B42" s="28">
        <v>5</v>
      </c>
      <c r="C42" s="62" t="s">
        <v>215</v>
      </c>
      <c r="D42" s="62"/>
      <c r="E42" s="62"/>
      <c r="F42" s="63"/>
    </row>
    <row r="43" spans="2:6" x14ac:dyDescent="0.25">
      <c r="B43" s="7" t="s">
        <v>70</v>
      </c>
      <c r="C43" s="18" t="s">
        <v>221</v>
      </c>
      <c r="D43" s="29">
        <v>857.52</v>
      </c>
      <c r="E43" s="7" t="s">
        <v>45</v>
      </c>
      <c r="F43" s="53" t="s">
        <v>222</v>
      </c>
    </row>
    <row r="44" spans="2:6" x14ac:dyDescent="0.25">
      <c r="B44" s="7" t="s">
        <v>216</v>
      </c>
      <c r="C44" s="51" t="s">
        <v>597</v>
      </c>
      <c r="D44" s="29">
        <v>1</v>
      </c>
      <c r="E44" s="7" t="s">
        <v>6</v>
      </c>
      <c r="F44" s="48"/>
    </row>
    <row r="45" spans="2:6" x14ac:dyDescent="0.25">
      <c r="B45" s="7" t="s">
        <v>217</v>
      </c>
      <c r="C45" s="18" t="s">
        <v>223</v>
      </c>
      <c r="D45" s="29">
        <f>(1.5*(12+14)+1*(2+3))*1.2</f>
        <v>52.8</v>
      </c>
      <c r="E45" s="7" t="s">
        <v>139</v>
      </c>
      <c r="F45" s="53" t="s">
        <v>224</v>
      </c>
    </row>
    <row r="46" spans="2:6" x14ac:dyDescent="0.25">
      <c r="B46" s="7" t="s">
        <v>218</v>
      </c>
      <c r="C46" s="18" t="s">
        <v>225</v>
      </c>
      <c r="D46" s="29">
        <f>(0.8*(2)+0.9*(5+8))*1.2</f>
        <v>15.96</v>
      </c>
      <c r="E46" s="7" t="s">
        <v>139</v>
      </c>
      <c r="F46" s="53" t="s">
        <v>226</v>
      </c>
    </row>
    <row r="47" spans="2:6" x14ac:dyDescent="0.25">
      <c r="B47" s="7" t="s">
        <v>219</v>
      </c>
      <c r="C47" s="18" t="s">
        <v>227</v>
      </c>
      <c r="D47" s="29">
        <f>(1.8*(3+1))*1.2</f>
        <v>8.64</v>
      </c>
      <c r="E47" s="7" t="s">
        <v>139</v>
      </c>
      <c r="F47" s="53" t="s">
        <v>228</v>
      </c>
    </row>
    <row r="48" spans="2:6" x14ac:dyDescent="0.25">
      <c r="B48" s="7" t="s">
        <v>220</v>
      </c>
      <c r="C48" s="18" t="s">
        <v>229</v>
      </c>
      <c r="D48" s="29">
        <f>(1.5*(12+14)+1*(2+3))*1.2</f>
        <v>52.8</v>
      </c>
      <c r="E48" s="7" t="s">
        <v>139</v>
      </c>
      <c r="F48" s="53" t="s">
        <v>230</v>
      </c>
    </row>
    <row r="49" spans="2:6" ht="15" customHeight="1" x14ac:dyDescent="0.25">
      <c r="B49" s="28">
        <v>6</v>
      </c>
      <c r="C49" s="62" t="s">
        <v>231</v>
      </c>
      <c r="D49" s="62"/>
      <c r="E49" s="62"/>
      <c r="F49" s="63"/>
    </row>
    <row r="50" spans="2:6" ht="15" customHeight="1" x14ac:dyDescent="0.25">
      <c r="B50" s="55" t="s">
        <v>67</v>
      </c>
      <c r="C50" s="56" t="s">
        <v>232</v>
      </c>
      <c r="D50" s="56"/>
      <c r="E50" s="56"/>
      <c r="F50" s="57"/>
    </row>
    <row r="51" spans="2:6" x14ac:dyDescent="0.25">
      <c r="B51" s="7" t="s">
        <v>233</v>
      </c>
      <c r="C51" s="18" t="s">
        <v>237</v>
      </c>
      <c r="D51" s="29">
        <v>1188.32</v>
      </c>
      <c r="E51" s="7" t="s">
        <v>45</v>
      </c>
      <c r="F51" s="53" t="s">
        <v>238</v>
      </c>
    </row>
    <row r="52" spans="2:6" x14ac:dyDescent="0.25">
      <c r="B52" s="7" t="s">
        <v>234</v>
      </c>
      <c r="C52" s="18" t="s">
        <v>282</v>
      </c>
      <c r="D52" s="29">
        <f>230*2</f>
        <v>460</v>
      </c>
      <c r="E52" s="7" t="s">
        <v>45</v>
      </c>
      <c r="F52" s="53" t="s">
        <v>283</v>
      </c>
    </row>
    <row r="53" spans="2:6" ht="25.5" x14ac:dyDescent="0.25">
      <c r="B53" s="7" t="s">
        <v>235</v>
      </c>
      <c r="C53" s="18" t="s">
        <v>239</v>
      </c>
      <c r="D53" s="29">
        <f>D51-D55</f>
        <v>904.15999999999985</v>
      </c>
      <c r="E53" s="7" t="s">
        <v>45</v>
      </c>
      <c r="F53" s="53" t="s">
        <v>240</v>
      </c>
    </row>
    <row r="54" spans="2:6" ht="25.5" x14ac:dyDescent="0.25">
      <c r="B54" s="7" t="s">
        <v>236</v>
      </c>
      <c r="C54" s="18" t="s">
        <v>284</v>
      </c>
      <c r="D54" s="29">
        <f>D52</f>
        <v>460</v>
      </c>
      <c r="E54" s="7" t="s">
        <v>45</v>
      </c>
      <c r="F54" s="53" t="s">
        <v>285</v>
      </c>
    </row>
    <row r="55" spans="2:6" ht="25.5" x14ac:dyDescent="0.25">
      <c r="B55" s="7" t="s">
        <v>280</v>
      </c>
      <c r="C55" s="18" t="s">
        <v>241</v>
      </c>
      <c r="D55" s="29">
        <v>284.16000000000003</v>
      </c>
      <c r="E55" s="7" t="s">
        <v>45</v>
      </c>
      <c r="F55" s="53" t="s">
        <v>242</v>
      </c>
    </row>
    <row r="56" spans="2:6" x14ac:dyDescent="0.25">
      <c r="B56" s="7" t="s">
        <v>281</v>
      </c>
      <c r="C56" s="18" t="s">
        <v>243</v>
      </c>
      <c r="D56" s="29">
        <f>D55</f>
        <v>284.16000000000003</v>
      </c>
      <c r="E56" s="7" t="s">
        <v>45</v>
      </c>
      <c r="F56" s="53" t="s">
        <v>244</v>
      </c>
    </row>
    <row r="57" spans="2:6" ht="15" customHeight="1" x14ac:dyDescent="0.25">
      <c r="B57" s="55" t="s">
        <v>68</v>
      </c>
      <c r="C57" s="56" t="s">
        <v>245</v>
      </c>
      <c r="D57" s="56"/>
      <c r="E57" s="56"/>
      <c r="F57" s="57"/>
    </row>
    <row r="58" spans="2:6" ht="25.5" x14ac:dyDescent="0.25">
      <c r="B58" s="7" t="s">
        <v>246</v>
      </c>
      <c r="C58" s="18" t="s">
        <v>248</v>
      </c>
      <c r="D58" s="29">
        <v>530</v>
      </c>
      <c r="E58" s="7" t="s">
        <v>45</v>
      </c>
      <c r="F58" s="53" t="s">
        <v>249</v>
      </c>
    </row>
    <row r="59" spans="2:6" ht="25.5" x14ac:dyDescent="0.25">
      <c r="B59" s="45" t="s">
        <v>247</v>
      </c>
      <c r="C59" s="46" t="s">
        <v>250</v>
      </c>
      <c r="D59" s="47">
        <f>D58</f>
        <v>530</v>
      </c>
      <c r="E59" s="49" t="s">
        <v>45</v>
      </c>
      <c r="F59" s="53" t="s">
        <v>251</v>
      </c>
    </row>
    <row r="60" spans="2:6" ht="15" customHeight="1" x14ac:dyDescent="0.25">
      <c r="B60" s="28">
        <v>7</v>
      </c>
      <c r="C60" s="62" t="s">
        <v>58</v>
      </c>
      <c r="D60" s="62"/>
      <c r="E60" s="62"/>
      <c r="F60" s="63"/>
    </row>
    <row r="61" spans="2:6" ht="25.5" x14ac:dyDescent="0.25">
      <c r="B61" s="7" t="s">
        <v>69</v>
      </c>
      <c r="C61" s="18" t="s">
        <v>256</v>
      </c>
      <c r="D61" s="29">
        <v>8</v>
      </c>
      <c r="E61" s="7" t="s">
        <v>6</v>
      </c>
      <c r="F61" s="53" t="s">
        <v>257</v>
      </c>
    </row>
    <row r="62" spans="2:6" ht="25.5" x14ac:dyDescent="0.25">
      <c r="B62" s="7" t="s">
        <v>268</v>
      </c>
      <c r="C62" s="18" t="s">
        <v>258</v>
      </c>
      <c r="D62" s="29">
        <v>249</v>
      </c>
      <c r="E62" s="7" t="s">
        <v>45</v>
      </c>
      <c r="F62" s="53" t="s">
        <v>259</v>
      </c>
    </row>
    <row r="63" spans="2:6" ht="25.5" x14ac:dyDescent="0.25">
      <c r="B63" s="7" t="s">
        <v>269</v>
      </c>
      <c r="C63" s="18" t="s">
        <v>260</v>
      </c>
      <c r="D63" s="29">
        <f>D62</f>
        <v>249</v>
      </c>
      <c r="E63" s="7" t="s">
        <v>45</v>
      </c>
      <c r="F63" s="53" t="s">
        <v>261</v>
      </c>
    </row>
    <row r="64" spans="2:6" x14ac:dyDescent="0.25">
      <c r="B64" s="7" t="s">
        <v>270</v>
      </c>
      <c r="C64" s="18" t="s">
        <v>262</v>
      </c>
      <c r="D64" s="29">
        <v>21.35</v>
      </c>
      <c r="E64" s="7" t="s">
        <v>139</v>
      </c>
      <c r="F64" s="53" t="s">
        <v>263</v>
      </c>
    </row>
    <row r="65" spans="2:6" x14ac:dyDescent="0.25">
      <c r="B65" s="7" t="s">
        <v>271</v>
      </c>
      <c r="C65" s="18" t="s">
        <v>264</v>
      </c>
      <c r="D65" s="29">
        <v>53.6</v>
      </c>
      <c r="E65" s="7" t="s">
        <v>139</v>
      </c>
      <c r="F65" s="53" t="s">
        <v>265</v>
      </c>
    </row>
    <row r="66" spans="2:6" x14ac:dyDescent="0.25">
      <c r="B66" s="7" t="s">
        <v>272</v>
      </c>
      <c r="C66" s="18" t="s">
        <v>266</v>
      </c>
      <c r="D66" s="29">
        <v>37.25</v>
      </c>
      <c r="E66" s="7" t="s">
        <v>139</v>
      </c>
      <c r="F66" s="53" t="s">
        <v>267</v>
      </c>
    </row>
    <row r="67" spans="2:6" ht="15" customHeight="1" x14ac:dyDescent="0.25">
      <c r="B67" s="28">
        <v>8</v>
      </c>
      <c r="C67" s="62" t="s">
        <v>59</v>
      </c>
      <c r="D67" s="62"/>
      <c r="E67" s="62"/>
      <c r="F67" s="63"/>
    </row>
    <row r="68" spans="2:6" x14ac:dyDescent="0.25">
      <c r="B68" s="7" t="s">
        <v>273</v>
      </c>
      <c r="C68" s="18" t="s">
        <v>276</v>
      </c>
      <c r="D68" s="29">
        <f>134*(0.3+0.2+0.3)</f>
        <v>107.2</v>
      </c>
      <c r="E68" s="7" t="s">
        <v>45</v>
      </c>
      <c r="F68" s="53" t="s">
        <v>277</v>
      </c>
    </row>
    <row r="69" spans="2:6" x14ac:dyDescent="0.25">
      <c r="B69" s="7" t="s">
        <v>274</v>
      </c>
      <c r="C69" s="18" t="s">
        <v>278</v>
      </c>
      <c r="D69" s="29">
        <f>(5.69)*4+(4.13)*2</f>
        <v>31.020000000000003</v>
      </c>
      <c r="E69" s="7" t="s">
        <v>45</v>
      </c>
      <c r="F69" s="53" t="s">
        <v>279</v>
      </c>
    </row>
    <row r="70" spans="2:6" ht="15" customHeight="1" x14ac:dyDescent="0.25">
      <c r="B70" s="28">
        <v>9</v>
      </c>
      <c r="C70" s="62" t="s">
        <v>61</v>
      </c>
      <c r="D70" s="62"/>
      <c r="E70" s="62"/>
      <c r="F70" s="63"/>
    </row>
    <row r="71" spans="2:6" x14ac:dyDescent="0.25">
      <c r="B71" s="7" t="s">
        <v>311</v>
      </c>
      <c r="C71" s="18" t="s">
        <v>288</v>
      </c>
      <c r="D71" s="29">
        <f>D59</f>
        <v>530</v>
      </c>
      <c r="E71" s="7" t="s">
        <v>45</v>
      </c>
      <c r="F71" s="53" t="s">
        <v>290</v>
      </c>
    </row>
    <row r="72" spans="2:6" x14ac:dyDescent="0.25">
      <c r="B72" s="7" t="s">
        <v>312</v>
      </c>
      <c r="C72" s="18" t="s">
        <v>286</v>
      </c>
      <c r="D72" s="29">
        <f>230*2</f>
        <v>460</v>
      </c>
      <c r="E72" s="7" t="s">
        <v>45</v>
      </c>
      <c r="F72" s="53" t="s">
        <v>287</v>
      </c>
    </row>
    <row r="73" spans="2:6" x14ac:dyDescent="0.25">
      <c r="B73" s="7" t="s">
        <v>313</v>
      </c>
      <c r="C73" s="18" t="s">
        <v>289</v>
      </c>
      <c r="D73" s="29">
        <f>D53</f>
        <v>904.15999999999985</v>
      </c>
      <c r="E73" s="7" t="s">
        <v>45</v>
      </c>
      <c r="F73" s="53" t="s">
        <v>291</v>
      </c>
    </row>
    <row r="74" spans="2:6" x14ac:dyDescent="0.25">
      <c r="B74" s="7" t="s">
        <v>314</v>
      </c>
      <c r="C74" s="18" t="s">
        <v>292</v>
      </c>
      <c r="D74" s="29">
        <f>D72</f>
        <v>460</v>
      </c>
      <c r="E74" s="7" t="s">
        <v>45</v>
      </c>
      <c r="F74" s="53" t="s">
        <v>294</v>
      </c>
    </row>
    <row r="75" spans="2:6" x14ac:dyDescent="0.25">
      <c r="B75" s="7" t="s">
        <v>315</v>
      </c>
      <c r="C75" s="18" t="s">
        <v>293</v>
      </c>
      <c r="D75" s="29">
        <f>D73</f>
        <v>904.15999999999985</v>
      </c>
      <c r="E75" s="7" t="s">
        <v>45</v>
      </c>
      <c r="F75" s="53" t="s">
        <v>295</v>
      </c>
    </row>
    <row r="76" spans="2:6" x14ac:dyDescent="0.25">
      <c r="B76" s="7" t="s">
        <v>316</v>
      </c>
      <c r="C76" s="18" t="s">
        <v>297</v>
      </c>
      <c r="D76" s="29">
        <f>D72</f>
        <v>460</v>
      </c>
      <c r="E76" s="7" t="s">
        <v>45</v>
      </c>
      <c r="F76" s="53" t="s">
        <v>298</v>
      </c>
    </row>
    <row r="77" spans="2:6" x14ac:dyDescent="0.25">
      <c r="B77" s="7" t="s">
        <v>317</v>
      </c>
      <c r="C77" s="18" t="s">
        <v>296</v>
      </c>
      <c r="D77" s="29">
        <f>D71+D73</f>
        <v>1434.1599999999999</v>
      </c>
      <c r="E77" s="7" t="s">
        <v>45</v>
      </c>
      <c r="F77" s="53" t="s">
        <v>299</v>
      </c>
    </row>
    <row r="78" spans="2:6" x14ac:dyDescent="0.25">
      <c r="B78" s="7" t="s">
        <v>318</v>
      </c>
      <c r="C78" s="18" t="s">
        <v>300</v>
      </c>
      <c r="D78" s="29">
        <f>((2*PI()*0.01905)*8.3)*1.5</f>
        <v>1.4901987672670505</v>
      </c>
      <c r="E78" s="7" t="s">
        <v>45</v>
      </c>
      <c r="F78" s="53" t="s">
        <v>301</v>
      </c>
    </row>
    <row r="79" spans="2:6" x14ac:dyDescent="0.25">
      <c r="B79" s="7" t="s">
        <v>319</v>
      </c>
      <c r="C79" s="18" t="s">
        <v>304</v>
      </c>
      <c r="D79" s="29">
        <f>D78</f>
        <v>1.4901987672670505</v>
      </c>
      <c r="E79" s="7" t="s">
        <v>45</v>
      </c>
      <c r="F79" s="53" t="s">
        <v>305</v>
      </c>
    </row>
    <row r="80" spans="2:6" ht="25.5" x14ac:dyDescent="0.25">
      <c r="B80" s="7" t="s">
        <v>320</v>
      </c>
      <c r="C80" s="18" t="s">
        <v>303</v>
      </c>
      <c r="D80" s="29">
        <f>D78</f>
        <v>1.4901987672670505</v>
      </c>
      <c r="E80" s="7" t="s">
        <v>45</v>
      </c>
      <c r="F80" s="53" t="s">
        <v>302</v>
      </c>
    </row>
    <row r="81" spans="2:6" x14ac:dyDescent="0.25">
      <c r="B81" s="7" t="s">
        <v>321</v>
      </c>
      <c r="C81" s="18" t="s">
        <v>306</v>
      </c>
      <c r="D81" s="29">
        <f>((4*(1.8*2.1)+2*(0.8*2.1)+13*(0.9*2.1))*2)*1.2</f>
        <v>103.32</v>
      </c>
      <c r="E81" s="7" t="s">
        <v>45</v>
      </c>
      <c r="F81" s="53" t="s">
        <v>307</v>
      </c>
    </row>
    <row r="82" spans="2:6" x14ac:dyDescent="0.25">
      <c r="B82" s="7" t="s">
        <v>322</v>
      </c>
      <c r="C82" s="18" t="s">
        <v>308</v>
      </c>
      <c r="D82" s="29">
        <f>D81</f>
        <v>103.32</v>
      </c>
      <c r="E82" s="7" t="s">
        <v>45</v>
      </c>
      <c r="F82" s="53" t="s">
        <v>309</v>
      </c>
    </row>
    <row r="83" spans="2:6" ht="15" customHeight="1" x14ac:dyDescent="0.25">
      <c r="B83" s="28">
        <v>10</v>
      </c>
      <c r="C83" s="62" t="s">
        <v>310</v>
      </c>
      <c r="D83" s="62"/>
      <c r="E83" s="62"/>
      <c r="F83" s="63"/>
    </row>
    <row r="84" spans="2:6" ht="15" customHeight="1" x14ac:dyDescent="0.25">
      <c r="B84" s="55" t="s">
        <v>328</v>
      </c>
      <c r="C84" s="56" t="s">
        <v>232</v>
      </c>
      <c r="D84" s="56"/>
      <c r="E84" s="56"/>
      <c r="F84" s="57"/>
    </row>
    <row r="85" spans="2:6" ht="25.5" x14ac:dyDescent="0.25">
      <c r="B85" s="7" t="s">
        <v>332</v>
      </c>
      <c r="C85" s="18" t="s">
        <v>323</v>
      </c>
      <c r="D85" s="29">
        <f>230+20</f>
        <v>250</v>
      </c>
      <c r="E85" s="7" t="s">
        <v>45</v>
      </c>
      <c r="F85" s="53" t="s">
        <v>324</v>
      </c>
    </row>
    <row r="86" spans="2:6" x14ac:dyDescent="0.25">
      <c r="B86" s="7" t="s">
        <v>333</v>
      </c>
      <c r="C86" s="18" t="s">
        <v>327</v>
      </c>
      <c r="D86" s="29">
        <f>230*2+20</f>
        <v>480</v>
      </c>
      <c r="E86" s="7" t="s">
        <v>45</v>
      </c>
      <c r="F86" s="53" t="s">
        <v>331</v>
      </c>
    </row>
    <row r="87" spans="2:6" x14ac:dyDescent="0.25">
      <c r="B87" s="7" t="s">
        <v>334</v>
      </c>
      <c r="C87" s="18" t="s">
        <v>329</v>
      </c>
      <c r="D87" s="29">
        <f>2*(1.8)</f>
        <v>3.6</v>
      </c>
      <c r="E87" s="7" t="s">
        <v>139</v>
      </c>
      <c r="F87" s="53" t="s">
        <v>330</v>
      </c>
    </row>
    <row r="88" spans="2:6" ht="15" customHeight="1" x14ac:dyDescent="0.25">
      <c r="B88" s="55" t="s">
        <v>335</v>
      </c>
      <c r="C88" s="56" t="s">
        <v>245</v>
      </c>
      <c r="D88" s="56"/>
      <c r="E88" s="56"/>
      <c r="F88" s="57"/>
    </row>
    <row r="89" spans="2:6" x14ac:dyDescent="0.25">
      <c r="B89" s="7" t="s">
        <v>336</v>
      </c>
      <c r="C89" s="18" t="s">
        <v>326</v>
      </c>
      <c r="D89" s="29">
        <f>20*0.08</f>
        <v>1.6</v>
      </c>
      <c r="E89" s="7" t="s">
        <v>164</v>
      </c>
      <c r="F89" s="53" t="s">
        <v>629</v>
      </c>
    </row>
    <row r="90" spans="2:6" ht="15" customHeight="1" x14ac:dyDescent="0.25">
      <c r="B90" s="28">
        <v>11</v>
      </c>
      <c r="C90" s="62" t="s">
        <v>337</v>
      </c>
      <c r="D90" s="62"/>
      <c r="E90" s="62"/>
      <c r="F90" s="63"/>
    </row>
    <row r="91" spans="2:6" ht="15" customHeight="1" x14ac:dyDescent="0.25">
      <c r="B91" s="55" t="s">
        <v>338</v>
      </c>
      <c r="C91" s="56" t="s">
        <v>339</v>
      </c>
      <c r="D91" s="56"/>
      <c r="E91" s="56"/>
      <c r="F91" s="57"/>
    </row>
    <row r="92" spans="2:6" ht="25.5" x14ac:dyDescent="0.25">
      <c r="B92" s="7" t="s">
        <v>344</v>
      </c>
      <c r="C92" s="18" t="s">
        <v>340</v>
      </c>
      <c r="D92" s="29">
        <v>2</v>
      </c>
      <c r="E92" s="7" t="s">
        <v>6</v>
      </c>
      <c r="F92" s="53" t="s">
        <v>341</v>
      </c>
    </row>
    <row r="93" spans="2:6" ht="25.5" x14ac:dyDescent="0.25">
      <c r="B93" s="7" t="s">
        <v>345</v>
      </c>
      <c r="C93" s="18" t="s">
        <v>342</v>
      </c>
      <c r="D93" s="29">
        <v>13</v>
      </c>
      <c r="E93" s="7" t="s">
        <v>6</v>
      </c>
      <c r="F93" s="53" t="s">
        <v>343</v>
      </c>
    </row>
    <row r="94" spans="2:6" ht="15" customHeight="1" x14ac:dyDescent="0.25">
      <c r="B94" s="55" t="s">
        <v>351</v>
      </c>
      <c r="C94" s="56" t="s">
        <v>348</v>
      </c>
      <c r="D94" s="56"/>
      <c r="E94" s="56"/>
      <c r="F94" s="57"/>
    </row>
    <row r="95" spans="2:6" x14ac:dyDescent="0.25">
      <c r="B95" s="7" t="s">
        <v>613</v>
      </c>
      <c r="C95" s="18" t="s">
        <v>349</v>
      </c>
      <c r="D95" s="29">
        <v>2</v>
      </c>
      <c r="E95" s="7" t="s">
        <v>6</v>
      </c>
      <c r="F95" s="53" t="s">
        <v>350</v>
      </c>
    </row>
    <row r="96" spans="2:6" ht="15" customHeight="1" x14ac:dyDescent="0.25">
      <c r="B96" s="55" t="s">
        <v>352</v>
      </c>
      <c r="C96" s="56" t="s">
        <v>353</v>
      </c>
      <c r="D96" s="56"/>
      <c r="E96" s="56"/>
      <c r="F96" s="57"/>
    </row>
    <row r="97" spans="2:6" ht="25.5" x14ac:dyDescent="0.25">
      <c r="B97" s="7" t="s">
        <v>366</v>
      </c>
      <c r="C97" s="18" t="s">
        <v>356</v>
      </c>
      <c r="D97" s="29">
        <f>26*(1.5*1.2)</f>
        <v>46.8</v>
      </c>
      <c r="E97" s="7" t="s">
        <v>45</v>
      </c>
      <c r="F97" s="53" t="s">
        <v>354</v>
      </c>
    </row>
    <row r="98" spans="2:6" x14ac:dyDescent="0.25">
      <c r="B98" s="7" t="s">
        <v>367</v>
      </c>
      <c r="C98" s="18" t="s">
        <v>357</v>
      </c>
      <c r="D98" s="29">
        <f>(1*0.6)*5</f>
        <v>3</v>
      </c>
      <c r="E98" s="7" t="s">
        <v>45</v>
      </c>
      <c r="F98" s="53" t="s">
        <v>355</v>
      </c>
    </row>
    <row r="99" spans="2:6" x14ac:dyDescent="0.25">
      <c r="B99" s="7" t="s">
        <v>368</v>
      </c>
      <c r="C99" s="18" t="s">
        <v>358</v>
      </c>
      <c r="D99" s="29">
        <f>(1.5*2+1.2*2)*26+(1*2+0.6*2)*5</f>
        <v>156.4</v>
      </c>
      <c r="E99" s="7" t="s">
        <v>139</v>
      </c>
      <c r="F99" s="53" t="s">
        <v>359</v>
      </c>
    </row>
    <row r="100" spans="2:6" x14ac:dyDescent="0.25">
      <c r="B100" s="7" t="s">
        <v>369</v>
      </c>
      <c r="C100" s="18" t="s">
        <v>360</v>
      </c>
      <c r="D100" s="29">
        <f>(1.5*2+1.2*2)*26+(1*2+0.6*2)*5</f>
        <v>156.4</v>
      </c>
      <c r="E100" s="7" t="s">
        <v>139</v>
      </c>
      <c r="F100" s="53" t="s">
        <v>363</v>
      </c>
    </row>
    <row r="101" spans="2:6" x14ac:dyDescent="0.25">
      <c r="B101" s="7" t="s">
        <v>370</v>
      </c>
      <c r="C101" s="18" t="s">
        <v>364</v>
      </c>
      <c r="D101" s="29">
        <f>0.8*0.6</f>
        <v>0.48</v>
      </c>
      <c r="E101" s="7" t="s">
        <v>45</v>
      </c>
      <c r="F101" s="48" t="s">
        <v>365</v>
      </c>
    </row>
    <row r="102" spans="2:6" ht="15" customHeight="1" x14ac:dyDescent="0.25">
      <c r="B102" s="55" t="s">
        <v>371</v>
      </c>
      <c r="C102" s="56" t="s">
        <v>373</v>
      </c>
      <c r="D102" s="56"/>
      <c r="E102" s="56"/>
      <c r="F102" s="57"/>
    </row>
    <row r="103" spans="2:6" x14ac:dyDescent="0.25">
      <c r="B103" s="7" t="s">
        <v>372</v>
      </c>
      <c r="C103" s="18" t="s">
        <v>374</v>
      </c>
      <c r="D103" s="29">
        <v>8.3000000000000007</v>
      </c>
      <c r="E103" s="7" t="s">
        <v>139</v>
      </c>
      <c r="F103" s="53" t="s">
        <v>375</v>
      </c>
    </row>
    <row r="104" spans="2:6" ht="15" customHeight="1" x14ac:dyDescent="0.25">
      <c r="B104" s="28">
        <v>12</v>
      </c>
      <c r="C104" s="62" t="s">
        <v>376</v>
      </c>
      <c r="D104" s="62"/>
      <c r="E104" s="62"/>
      <c r="F104" s="63"/>
    </row>
    <row r="105" spans="2:6" ht="15" customHeight="1" x14ac:dyDescent="0.25">
      <c r="B105" s="55" t="s">
        <v>346</v>
      </c>
      <c r="C105" s="56" t="s">
        <v>377</v>
      </c>
      <c r="D105" s="56"/>
      <c r="E105" s="56"/>
      <c r="F105" s="57"/>
    </row>
    <row r="106" spans="2:6" ht="25.5" x14ac:dyDescent="0.25">
      <c r="B106" s="7" t="s">
        <v>347</v>
      </c>
      <c r="C106" s="18" t="s">
        <v>378</v>
      </c>
      <c r="D106" s="29">
        <v>2</v>
      </c>
      <c r="E106" s="7" t="s">
        <v>6</v>
      </c>
      <c r="F106" s="53" t="s">
        <v>379</v>
      </c>
    </row>
    <row r="107" spans="2:6" ht="25.5" x14ac:dyDescent="0.25">
      <c r="B107" s="7" t="s">
        <v>532</v>
      </c>
      <c r="C107" s="18" t="s">
        <v>380</v>
      </c>
      <c r="D107" s="29">
        <v>4</v>
      </c>
      <c r="E107" s="7" t="s">
        <v>6</v>
      </c>
      <c r="F107" s="53" t="s">
        <v>381</v>
      </c>
    </row>
    <row r="108" spans="2:6" x14ac:dyDescent="0.25">
      <c r="B108" s="7" t="s">
        <v>533</v>
      </c>
      <c r="C108" s="18" t="s">
        <v>382</v>
      </c>
      <c r="D108" s="29">
        <f>D106+D107</f>
        <v>6</v>
      </c>
      <c r="E108" s="7" t="s">
        <v>6</v>
      </c>
      <c r="F108" s="53" t="s">
        <v>383</v>
      </c>
    </row>
    <row r="109" spans="2:6" ht="25.5" x14ac:dyDescent="0.25">
      <c r="B109" s="7" t="s">
        <v>534</v>
      </c>
      <c r="C109" s="18" t="s">
        <v>384</v>
      </c>
      <c r="D109" s="29">
        <v>6</v>
      </c>
      <c r="E109" s="7" t="s">
        <v>6</v>
      </c>
      <c r="F109" s="53" t="s">
        <v>385</v>
      </c>
    </row>
    <row r="110" spans="2:6" x14ac:dyDescent="0.25">
      <c r="B110" s="7" t="s">
        <v>535</v>
      </c>
      <c r="C110" s="18" t="s">
        <v>387</v>
      </c>
      <c r="D110" s="29">
        <v>1</v>
      </c>
      <c r="E110" s="7" t="s">
        <v>6</v>
      </c>
      <c r="F110" s="48"/>
    </row>
    <row r="111" spans="2:6" ht="15" customHeight="1" x14ac:dyDescent="0.25">
      <c r="B111" s="55" t="s">
        <v>390</v>
      </c>
      <c r="C111" s="56" t="s">
        <v>391</v>
      </c>
      <c r="D111" s="56"/>
      <c r="E111" s="56"/>
      <c r="F111" s="57"/>
    </row>
    <row r="112" spans="2:6" x14ac:dyDescent="0.25">
      <c r="B112" s="7" t="s">
        <v>536</v>
      </c>
      <c r="C112" s="18" t="s">
        <v>421</v>
      </c>
      <c r="D112" s="29">
        <v>1</v>
      </c>
      <c r="E112" s="7" t="s">
        <v>6</v>
      </c>
      <c r="F112" s="53" t="s">
        <v>422</v>
      </c>
    </row>
    <row r="113" spans="2:6" x14ac:dyDescent="0.25">
      <c r="B113" s="7" t="s">
        <v>537</v>
      </c>
      <c r="C113" s="18" t="s">
        <v>419</v>
      </c>
      <c r="D113" s="29">
        <v>1</v>
      </c>
      <c r="E113" s="7" t="s">
        <v>6</v>
      </c>
      <c r="F113" s="53" t="s">
        <v>420</v>
      </c>
    </row>
    <row r="114" spans="2:6" ht="25.5" x14ac:dyDescent="0.25">
      <c r="B114" s="7" t="s">
        <v>538</v>
      </c>
      <c r="C114" s="18" t="s">
        <v>423</v>
      </c>
      <c r="D114" s="29">
        <v>47.3</v>
      </c>
      <c r="E114" s="7" t="s">
        <v>139</v>
      </c>
      <c r="F114" s="53" t="s">
        <v>424</v>
      </c>
    </row>
    <row r="115" spans="2:6" x14ac:dyDescent="0.25">
      <c r="B115" s="7" t="s">
        <v>539</v>
      </c>
      <c r="C115" s="18" t="s">
        <v>425</v>
      </c>
      <c r="D115" s="29">
        <v>2</v>
      </c>
      <c r="E115" s="7" t="s">
        <v>6</v>
      </c>
      <c r="F115" s="53" t="s">
        <v>426</v>
      </c>
    </row>
    <row r="116" spans="2:6" ht="15" customHeight="1" x14ac:dyDescent="0.25">
      <c r="B116" s="55" t="s">
        <v>392</v>
      </c>
      <c r="C116" s="56" t="s">
        <v>393</v>
      </c>
      <c r="D116" s="56"/>
      <c r="E116" s="56"/>
      <c r="F116" s="57"/>
    </row>
    <row r="117" spans="2:6" ht="25.5" x14ac:dyDescent="0.25">
      <c r="B117" s="7" t="s">
        <v>540</v>
      </c>
      <c r="C117" s="18" t="s">
        <v>427</v>
      </c>
      <c r="D117" s="29">
        <v>11</v>
      </c>
      <c r="E117" s="7" t="s">
        <v>139</v>
      </c>
      <c r="F117" s="53" t="s">
        <v>436</v>
      </c>
    </row>
    <row r="118" spans="2:6" x14ac:dyDescent="0.25">
      <c r="B118" s="7" t="s">
        <v>541</v>
      </c>
      <c r="C118" s="18" t="s">
        <v>434</v>
      </c>
      <c r="D118" s="29">
        <v>25</v>
      </c>
      <c r="E118" s="7" t="s">
        <v>139</v>
      </c>
      <c r="F118" s="53" t="s">
        <v>435</v>
      </c>
    </row>
    <row r="119" spans="2:6" ht="25.5" x14ac:dyDescent="0.25">
      <c r="B119" s="7" t="s">
        <v>542</v>
      </c>
      <c r="C119" s="18" t="s">
        <v>428</v>
      </c>
      <c r="D119" s="29">
        <v>34</v>
      </c>
      <c r="E119" s="7" t="s">
        <v>139</v>
      </c>
      <c r="F119" s="53" t="s">
        <v>437</v>
      </c>
    </row>
    <row r="120" spans="2:6" x14ac:dyDescent="0.25">
      <c r="B120" s="7" t="s">
        <v>543</v>
      </c>
      <c r="C120" s="18" t="s">
        <v>429</v>
      </c>
      <c r="D120" s="29">
        <v>1</v>
      </c>
      <c r="E120" s="7" t="s">
        <v>6</v>
      </c>
      <c r="F120" s="53" t="s">
        <v>438</v>
      </c>
    </row>
    <row r="121" spans="2:6" x14ac:dyDescent="0.25">
      <c r="B121" s="7" t="s">
        <v>544</v>
      </c>
      <c r="C121" s="18" t="s">
        <v>430</v>
      </c>
      <c r="D121" s="29">
        <v>5</v>
      </c>
      <c r="E121" s="7" t="s">
        <v>6</v>
      </c>
      <c r="F121" s="53" t="s">
        <v>431</v>
      </c>
    </row>
    <row r="122" spans="2:6" x14ac:dyDescent="0.25">
      <c r="B122" s="7" t="s">
        <v>545</v>
      </c>
      <c r="C122" s="18" t="s">
        <v>432</v>
      </c>
      <c r="D122" s="29">
        <f>D121</f>
        <v>5</v>
      </c>
      <c r="E122" s="7" t="s">
        <v>6</v>
      </c>
      <c r="F122" s="53" t="s">
        <v>433</v>
      </c>
    </row>
    <row r="123" spans="2:6" x14ac:dyDescent="0.25">
      <c r="B123" s="7" t="s">
        <v>546</v>
      </c>
      <c r="C123" s="18" t="s">
        <v>439</v>
      </c>
      <c r="D123" s="29">
        <v>6</v>
      </c>
      <c r="E123" s="7" t="s">
        <v>6</v>
      </c>
      <c r="F123" s="53" t="s">
        <v>440</v>
      </c>
    </row>
    <row r="124" spans="2:6" x14ac:dyDescent="0.25">
      <c r="B124" s="7" t="s">
        <v>547</v>
      </c>
      <c r="C124" s="18" t="s">
        <v>452</v>
      </c>
      <c r="D124" s="29">
        <v>1</v>
      </c>
      <c r="E124" s="7" t="s">
        <v>6</v>
      </c>
      <c r="F124" s="53"/>
    </row>
    <row r="125" spans="2:6" x14ac:dyDescent="0.25">
      <c r="B125" s="7" t="s">
        <v>548</v>
      </c>
      <c r="C125" s="18" t="s">
        <v>455</v>
      </c>
      <c r="D125" s="29">
        <v>1</v>
      </c>
      <c r="E125" s="7" t="s">
        <v>6</v>
      </c>
      <c r="F125" s="53" t="s">
        <v>456</v>
      </c>
    </row>
    <row r="126" spans="2:6" x14ac:dyDescent="0.25">
      <c r="B126" s="7" t="s">
        <v>549</v>
      </c>
      <c r="C126" s="18" t="s">
        <v>457</v>
      </c>
      <c r="D126" s="29">
        <v>1</v>
      </c>
      <c r="E126" s="7" t="s">
        <v>6</v>
      </c>
      <c r="F126" s="53" t="s">
        <v>458</v>
      </c>
    </row>
    <row r="127" spans="2:6" ht="15" customHeight="1" x14ac:dyDescent="0.25">
      <c r="B127" s="55" t="s">
        <v>394</v>
      </c>
      <c r="C127" s="56" t="s">
        <v>395</v>
      </c>
      <c r="D127" s="56"/>
      <c r="E127" s="56"/>
      <c r="F127" s="57"/>
    </row>
    <row r="128" spans="2:6" ht="25.5" x14ac:dyDescent="0.25">
      <c r="B128" s="7" t="s">
        <v>550</v>
      </c>
      <c r="C128" s="18" t="s">
        <v>459</v>
      </c>
      <c r="D128" s="29">
        <v>25</v>
      </c>
      <c r="E128" s="7" t="s">
        <v>139</v>
      </c>
      <c r="F128" s="53" t="s">
        <v>461</v>
      </c>
    </row>
    <row r="129" spans="2:6" ht="25.5" x14ac:dyDescent="0.25">
      <c r="B129" s="7" t="s">
        <v>551</v>
      </c>
      <c r="C129" s="18" t="s">
        <v>460</v>
      </c>
      <c r="D129" s="29">
        <v>29.3</v>
      </c>
      <c r="E129" s="7" t="s">
        <v>139</v>
      </c>
      <c r="F129" s="53" t="s">
        <v>462</v>
      </c>
    </row>
    <row r="130" spans="2:6" ht="15" customHeight="1" x14ac:dyDescent="0.25">
      <c r="B130" s="55" t="s">
        <v>396</v>
      </c>
      <c r="C130" s="56" t="s">
        <v>397</v>
      </c>
      <c r="D130" s="56"/>
      <c r="E130" s="56"/>
      <c r="F130" s="57"/>
    </row>
    <row r="131" spans="2:6" x14ac:dyDescent="0.25">
      <c r="B131" s="7" t="s">
        <v>552</v>
      </c>
      <c r="C131" s="18" t="s">
        <v>402</v>
      </c>
      <c r="D131" s="29">
        <f>1*4</f>
        <v>4</v>
      </c>
      <c r="E131" s="7" t="s">
        <v>6</v>
      </c>
      <c r="F131" s="53" t="s">
        <v>403</v>
      </c>
    </row>
    <row r="132" spans="2:6" x14ac:dyDescent="0.25">
      <c r="B132" s="7" t="s">
        <v>553</v>
      </c>
      <c r="C132" s="18" t="s">
        <v>400</v>
      </c>
      <c r="D132" s="29">
        <f>1*4</f>
        <v>4</v>
      </c>
      <c r="E132" s="7" t="s">
        <v>6</v>
      </c>
      <c r="F132" s="53" t="s">
        <v>401</v>
      </c>
    </row>
    <row r="133" spans="2:6" x14ac:dyDescent="0.25">
      <c r="B133" s="7" t="s">
        <v>554</v>
      </c>
      <c r="C133" s="18" t="s">
        <v>398</v>
      </c>
      <c r="D133" s="29">
        <f>2*4</f>
        <v>8</v>
      </c>
      <c r="E133" s="7" t="s">
        <v>6</v>
      </c>
      <c r="F133" s="53" t="s">
        <v>399</v>
      </c>
    </row>
    <row r="134" spans="2:6" x14ac:dyDescent="0.25">
      <c r="B134" s="7" t="s">
        <v>555</v>
      </c>
      <c r="C134" s="18" t="s">
        <v>404</v>
      </c>
      <c r="D134" s="29">
        <f>1*4</f>
        <v>4</v>
      </c>
      <c r="E134" s="7" t="s">
        <v>405</v>
      </c>
      <c r="F134" s="53" t="s">
        <v>406</v>
      </c>
    </row>
    <row r="135" spans="2:6" x14ac:dyDescent="0.25">
      <c r="B135" s="7" t="s">
        <v>556</v>
      </c>
      <c r="C135" s="18" t="s">
        <v>407</v>
      </c>
      <c r="D135" s="29">
        <f>1*6</f>
        <v>6</v>
      </c>
      <c r="E135" s="7" t="s">
        <v>6</v>
      </c>
      <c r="F135" s="53" t="s">
        <v>408</v>
      </c>
    </row>
    <row r="136" spans="2:6" x14ac:dyDescent="0.25">
      <c r="B136" s="7" t="s">
        <v>557</v>
      </c>
      <c r="C136" s="18" t="s">
        <v>411</v>
      </c>
      <c r="D136" s="29">
        <f>1*6</f>
        <v>6</v>
      </c>
      <c r="E136" s="7" t="s">
        <v>6</v>
      </c>
      <c r="F136" s="53" t="s">
        <v>628</v>
      </c>
    </row>
    <row r="137" spans="2:6" x14ac:dyDescent="0.25">
      <c r="B137" s="7" t="s">
        <v>558</v>
      </c>
      <c r="C137" s="18" t="s">
        <v>417</v>
      </c>
      <c r="D137" s="29">
        <f>6*(0.6*0.9)</f>
        <v>3.24</v>
      </c>
      <c r="E137" s="7" t="s">
        <v>45</v>
      </c>
      <c r="F137" s="53" t="s">
        <v>418</v>
      </c>
    </row>
    <row r="138" spans="2:6" ht="15" customHeight="1" x14ac:dyDescent="0.25">
      <c r="B138" s="28">
        <v>13</v>
      </c>
      <c r="C138" s="62" t="s">
        <v>463</v>
      </c>
      <c r="D138" s="62"/>
      <c r="E138" s="62"/>
      <c r="F138" s="63"/>
    </row>
    <row r="139" spans="2:6" ht="15" customHeight="1" x14ac:dyDescent="0.25">
      <c r="B139" s="55" t="s">
        <v>464</v>
      </c>
      <c r="C139" s="56" t="s">
        <v>465</v>
      </c>
      <c r="D139" s="56"/>
      <c r="E139" s="56"/>
      <c r="F139" s="57"/>
    </row>
    <row r="140" spans="2:6" x14ac:dyDescent="0.25">
      <c r="B140" s="7" t="s">
        <v>559</v>
      </c>
      <c r="C140" s="18" t="s">
        <v>474</v>
      </c>
      <c r="D140" s="29">
        <f>260+50+400</f>
        <v>710</v>
      </c>
      <c r="E140" s="7" t="s">
        <v>139</v>
      </c>
      <c r="F140" s="53" t="s">
        <v>475</v>
      </c>
    </row>
    <row r="141" spans="2:6" x14ac:dyDescent="0.25">
      <c r="B141" s="7" t="s">
        <v>561</v>
      </c>
      <c r="C141" s="18" t="s">
        <v>476</v>
      </c>
      <c r="D141" s="29">
        <f>180+330+255+60+30+50+75+180+310+40+30+50+60+50+60+60+70+70</f>
        <v>1960</v>
      </c>
      <c r="E141" s="7" t="s">
        <v>139</v>
      </c>
      <c r="F141" s="53" t="s">
        <v>477</v>
      </c>
    </row>
    <row r="142" spans="2:6" x14ac:dyDescent="0.25">
      <c r="B142" s="7" t="s">
        <v>562</v>
      </c>
      <c r="C142" s="18" t="s">
        <v>478</v>
      </c>
      <c r="D142" s="29">
        <f>105+70</f>
        <v>175</v>
      </c>
      <c r="E142" s="7" t="s">
        <v>139</v>
      </c>
      <c r="F142" s="53" t="s">
        <v>479</v>
      </c>
    </row>
    <row r="143" spans="2:6" x14ac:dyDescent="0.25">
      <c r="B143" s="7" t="s">
        <v>563</v>
      </c>
      <c r="C143" s="18" t="s">
        <v>480</v>
      </c>
      <c r="D143" s="29">
        <f>45+60+45+60</f>
        <v>210</v>
      </c>
      <c r="E143" s="7" t="s">
        <v>139</v>
      </c>
      <c r="F143" s="53" t="s">
        <v>481</v>
      </c>
    </row>
    <row r="144" spans="2:6" x14ac:dyDescent="0.25">
      <c r="B144" s="7" t="s">
        <v>564</v>
      </c>
      <c r="C144" s="18" t="s">
        <v>482</v>
      </c>
      <c r="D144" s="29">
        <f>20</f>
        <v>20</v>
      </c>
      <c r="E144" s="7" t="s">
        <v>139</v>
      </c>
      <c r="F144" s="53" t="s">
        <v>483</v>
      </c>
    </row>
    <row r="145" spans="2:6" ht="15" customHeight="1" x14ac:dyDescent="0.25">
      <c r="B145" s="55" t="s">
        <v>484</v>
      </c>
      <c r="C145" s="56" t="s">
        <v>485</v>
      </c>
      <c r="D145" s="56"/>
      <c r="E145" s="56"/>
      <c r="F145" s="57"/>
    </row>
    <row r="146" spans="2:6" x14ac:dyDescent="0.25">
      <c r="B146" s="7" t="s">
        <v>565</v>
      </c>
      <c r="C146" s="18" t="s">
        <v>490</v>
      </c>
      <c r="D146" s="29">
        <f>365+350</f>
        <v>715</v>
      </c>
      <c r="E146" s="7" t="s">
        <v>139</v>
      </c>
      <c r="F146" s="53" t="s">
        <v>488</v>
      </c>
    </row>
    <row r="147" spans="2:6" x14ac:dyDescent="0.25">
      <c r="B147" s="7" t="s">
        <v>560</v>
      </c>
      <c r="C147" s="18" t="s">
        <v>486</v>
      </c>
      <c r="D147" s="29">
        <f>48+48</f>
        <v>96</v>
      </c>
      <c r="E147" s="7" t="s">
        <v>139</v>
      </c>
      <c r="F147" s="53" t="s">
        <v>487</v>
      </c>
    </row>
    <row r="148" spans="2:6" x14ac:dyDescent="0.25">
      <c r="B148" s="7" t="s">
        <v>566</v>
      </c>
      <c r="C148" s="18" t="s">
        <v>498</v>
      </c>
      <c r="D148" s="29">
        <f>20+23</f>
        <v>43</v>
      </c>
      <c r="E148" s="7" t="s">
        <v>6</v>
      </c>
      <c r="F148" s="53" t="s">
        <v>502</v>
      </c>
    </row>
    <row r="149" spans="2:6" x14ac:dyDescent="0.25">
      <c r="B149" s="7" t="s">
        <v>567</v>
      </c>
      <c r="C149" s="18" t="s">
        <v>499</v>
      </c>
      <c r="D149" s="29">
        <f>10+11</f>
        <v>21</v>
      </c>
      <c r="E149" s="7" t="s">
        <v>6</v>
      </c>
      <c r="F149" s="53" t="s">
        <v>503</v>
      </c>
    </row>
    <row r="150" spans="2:6" x14ac:dyDescent="0.25">
      <c r="B150" s="7" t="s">
        <v>568</v>
      </c>
      <c r="C150" s="18" t="s">
        <v>500</v>
      </c>
      <c r="D150" s="29">
        <f>2+4+8+7+4+3</f>
        <v>28</v>
      </c>
      <c r="E150" s="7" t="s">
        <v>6</v>
      </c>
      <c r="F150" s="53" t="s">
        <v>504</v>
      </c>
    </row>
    <row r="151" spans="2:6" x14ac:dyDescent="0.25">
      <c r="B151" s="7" t="s">
        <v>569</v>
      </c>
      <c r="C151" s="18" t="s">
        <v>501</v>
      </c>
      <c r="D151" s="29">
        <f>(52+48)-D150</f>
        <v>72</v>
      </c>
      <c r="E151" s="7" t="s">
        <v>6</v>
      </c>
      <c r="F151" s="53" t="s">
        <v>505</v>
      </c>
    </row>
    <row r="152" spans="2:6" ht="15" customHeight="1" x14ac:dyDescent="0.25">
      <c r="B152" s="55" t="s">
        <v>489</v>
      </c>
      <c r="C152" s="56" t="s">
        <v>616</v>
      </c>
      <c r="D152" s="56"/>
      <c r="E152" s="56"/>
      <c r="F152" s="57"/>
    </row>
    <row r="153" spans="2:6" x14ac:dyDescent="0.25">
      <c r="B153" s="7" t="s">
        <v>570</v>
      </c>
      <c r="C153" s="18" t="s">
        <v>491</v>
      </c>
      <c r="D153" s="29">
        <v>38</v>
      </c>
      <c r="E153" s="7" t="s">
        <v>6</v>
      </c>
      <c r="F153" s="53" t="s">
        <v>494</v>
      </c>
    </row>
    <row r="154" spans="2:6" x14ac:dyDescent="0.25">
      <c r="B154" s="7" t="s">
        <v>571</v>
      </c>
      <c r="C154" s="18" t="s">
        <v>492</v>
      </c>
      <c r="D154" s="29">
        <v>6</v>
      </c>
      <c r="E154" s="7" t="s">
        <v>6</v>
      </c>
      <c r="F154" s="53" t="s">
        <v>495</v>
      </c>
    </row>
    <row r="155" spans="2:6" x14ac:dyDescent="0.25">
      <c r="B155" s="7" t="s">
        <v>572</v>
      </c>
      <c r="C155" s="18" t="s">
        <v>493</v>
      </c>
      <c r="D155" s="29">
        <v>2</v>
      </c>
      <c r="E155" s="7" t="s">
        <v>6</v>
      </c>
      <c r="F155" s="53" t="s">
        <v>496</v>
      </c>
    </row>
    <row r="156" spans="2:6" ht="15" customHeight="1" x14ac:dyDescent="0.25">
      <c r="B156" s="55" t="s">
        <v>573</v>
      </c>
      <c r="C156" s="56" t="s">
        <v>497</v>
      </c>
      <c r="D156" s="56"/>
      <c r="E156" s="56"/>
      <c r="F156" s="57"/>
    </row>
    <row r="157" spans="2:6" x14ac:dyDescent="0.25">
      <c r="B157" s="7" t="s">
        <v>574</v>
      </c>
      <c r="C157" s="18" t="s">
        <v>512</v>
      </c>
      <c r="D157" s="29">
        <f>8+7</f>
        <v>15</v>
      </c>
      <c r="E157" s="7" t="s">
        <v>6</v>
      </c>
      <c r="F157" s="53" t="s">
        <v>513</v>
      </c>
    </row>
    <row r="158" spans="2:6" x14ac:dyDescent="0.25">
      <c r="B158" s="7" t="s">
        <v>575</v>
      </c>
      <c r="C158" s="18" t="s">
        <v>514</v>
      </c>
      <c r="D158" s="29">
        <f>4+3</f>
        <v>7</v>
      </c>
      <c r="E158" s="7" t="s">
        <v>6</v>
      </c>
      <c r="F158" s="53" t="s">
        <v>515</v>
      </c>
    </row>
    <row r="159" spans="2:6" x14ac:dyDescent="0.25">
      <c r="B159" s="7" t="s">
        <v>576</v>
      </c>
      <c r="C159" s="18" t="s">
        <v>516</v>
      </c>
      <c r="D159" s="29">
        <f>2+4</f>
        <v>6</v>
      </c>
      <c r="E159" s="7" t="s">
        <v>6</v>
      </c>
      <c r="F159" s="53" t="s">
        <v>517</v>
      </c>
    </row>
    <row r="160" spans="2:6" x14ac:dyDescent="0.25">
      <c r="B160" s="7" t="s">
        <v>577</v>
      </c>
      <c r="C160" s="18" t="s">
        <v>506</v>
      </c>
      <c r="D160" s="29">
        <f>10+11</f>
        <v>21</v>
      </c>
      <c r="E160" s="7" t="s">
        <v>6</v>
      </c>
      <c r="F160" s="53" t="s">
        <v>507</v>
      </c>
    </row>
    <row r="161" spans="2:6" x14ac:dyDescent="0.25">
      <c r="B161" s="7" t="s">
        <v>578</v>
      </c>
      <c r="C161" s="18" t="s">
        <v>508</v>
      </c>
      <c r="D161" s="29">
        <f>22+17</f>
        <v>39</v>
      </c>
      <c r="E161" s="7" t="s">
        <v>6</v>
      </c>
      <c r="F161" s="53" t="s">
        <v>509</v>
      </c>
    </row>
    <row r="162" spans="2:6" x14ac:dyDescent="0.25">
      <c r="B162" s="7" t="s">
        <v>579</v>
      </c>
      <c r="C162" s="18" t="s">
        <v>510</v>
      </c>
      <c r="D162" s="29">
        <f>5+6</f>
        <v>11</v>
      </c>
      <c r="E162" s="7" t="s">
        <v>6</v>
      </c>
      <c r="F162" s="53" t="s">
        <v>511</v>
      </c>
    </row>
    <row r="163" spans="2:6" ht="15" customHeight="1" x14ac:dyDescent="0.25">
      <c r="B163" s="55" t="s">
        <v>467</v>
      </c>
      <c r="C163" s="56" t="s">
        <v>468</v>
      </c>
      <c r="D163" s="56"/>
      <c r="E163" s="56"/>
      <c r="F163" s="57"/>
    </row>
    <row r="164" spans="2:6" x14ac:dyDescent="0.25">
      <c r="B164" s="7" t="s">
        <v>580</v>
      </c>
      <c r="C164" s="18" t="s">
        <v>466</v>
      </c>
      <c r="D164" s="29">
        <v>1</v>
      </c>
      <c r="E164" s="7" t="s">
        <v>6</v>
      </c>
      <c r="F164" s="53" t="s">
        <v>469</v>
      </c>
    </row>
    <row r="165" spans="2:6" x14ac:dyDescent="0.25">
      <c r="B165" s="7" t="s">
        <v>581</v>
      </c>
      <c r="C165" s="18" t="s">
        <v>470</v>
      </c>
      <c r="D165" s="29">
        <v>1</v>
      </c>
      <c r="E165" s="7" t="s">
        <v>6</v>
      </c>
      <c r="F165" s="53" t="s">
        <v>471</v>
      </c>
    </row>
    <row r="166" spans="2:6" ht="25.5" x14ac:dyDescent="0.25">
      <c r="B166" s="7" t="s">
        <v>582</v>
      </c>
      <c r="C166" s="18" t="s">
        <v>472</v>
      </c>
      <c r="D166" s="29">
        <v>1</v>
      </c>
      <c r="E166" s="7" t="s">
        <v>6</v>
      </c>
      <c r="F166" s="53" t="s">
        <v>473</v>
      </c>
    </row>
    <row r="167" spans="2:6" ht="25.5" x14ac:dyDescent="0.25">
      <c r="B167" s="7" t="s">
        <v>583</v>
      </c>
      <c r="C167" s="18" t="s">
        <v>518</v>
      </c>
      <c r="D167" s="29">
        <v>2</v>
      </c>
      <c r="E167" s="7" t="s">
        <v>6</v>
      </c>
      <c r="F167" s="53" t="s">
        <v>519</v>
      </c>
    </row>
    <row r="168" spans="2:6" x14ac:dyDescent="0.25">
      <c r="B168" s="7" t="s">
        <v>585</v>
      </c>
      <c r="C168" s="18" t="s">
        <v>520</v>
      </c>
      <c r="D168" s="29">
        <v>15</v>
      </c>
      <c r="E168" s="7" t="s">
        <v>6</v>
      </c>
      <c r="F168" s="53" t="s">
        <v>521</v>
      </c>
    </row>
    <row r="169" spans="2:6" x14ac:dyDescent="0.25">
      <c r="B169" s="7" t="s">
        <v>584</v>
      </c>
      <c r="C169" s="18" t="s">
        <v>522</v>
      </c>
      <c r="D169" s="29">
        <v>7</v>
      </c>
      <c r="E169" s="7" t="s">
        <v>6</v>
      </c>
      <c r="F169" s="53" t="s">
        <v>523</v>
      </c>
    </row>
    <row r="170" spans="2:6" x14ac:dyDescent="0.25">
      <c r="B170" s="7" t="s">
        <v>586</v>
      </c>
      <c r="C170" s="18" t="s">
        <v>524</v>
      </c>
      <c r="D170" s="29">
        <v>1</v>
      </c>
      <c r="E170" s="7" t="s">
        <v>6</v>
      </c>
      <c r="F170" s="53" t="s">
        <v>525</v>
      </c>
    </row>
    <row r="171" spans="2:6" x14ac:dyDescent="0.25">
      <c r="B171" s="7" t="s">
        <v>587</v>
      </c>
      <c r="C171" s="18" t="s">
        <v>526</v>
      </c>
      <c r="D171" s="29">
        <v>4</v>
      </c>
      <c r="E171" s="7" t="s">
        <v>6</v>
      </c>
      <c r="F171" s="53" t="s">
        <v>527</v>
      </c>
    </row>
    <row r="172" spans="2:6" x14ac:dyDescent="0.25">
      <c r="B172" s="7" t="s">
        <v>588</v>
      </c>
      <c r="C172" s="18" t="s">
        <v>528</v>
      </c>
      <c r="D172" s="29">
        <v>1</v>
      </c>
      <c r="E172" s="7" t="s">
        <v>6</v>
      </c>
      <c r="F172" s="53" t="s">
        <v>529</v>
      </c>
    </row>
    <row r="173" spans="2:6" ht="15" customHeight="1" x14ac:dyDescent="0.25">
      <c r="B173" s="28">
        <v>14</v>
      </c>
      <c r="C173" s="62" t="s">
        <v>589</v>
      </c>
      <c r="D173" s="62"/>
      <c r="E173" s="62"/>
      <c r="F173" s="63"/>
    </row>
    <row r="174" spans="2:6" ht="25.5" x14ac:dyDescent="0.25">
      <c r="B174" s="7" t="s">
        <v>590</v>
      </c>
      <c r="C174" s="51" t="s">
        <v>608</v>
      </c>
      <c r="D174" s="29">
        <v>1</v>
      </c>
      <c r="E174" s="7" t="s">
        <v>6</v>
      </c>
      <c r="F174" s="53" t="s">
        <v>609</v>
      </c>
    </row>
    <row r="175" spans="2:6" ht="15" customHeight="1" x14ac:dyDescent="0.25">
      <c r="B175" s="28">
        <v>15</v>
      </c>
      <c r="C175" s="62" t="s">
        <v>62</v>
      </c>
      <c r="D175" s="62"/>
      <c r="E175" s="62"/>
      <c r="F175" s="63"/>
    </row>
    <row r="176" spans="2:6" x14ac:dyDescent="0.25">
      <c r="B176" s="7" t="s">
        <v>591</v>
      </c>
      <c r="C176" s="18" t="s">
        <v>530</v>
      </c>
      <c r="D176" s="29">
        <v>458.9</v>
      </c>
      <c r="E176" s="7" t="s">
        <v>45</v>
      </c>
      <c r="F176" s="53" t="s">
        <v>531</v>
      </c>
    </row>
  </sheetData>
  <mergeCells count="25">
    <mergeCell ref="B7:B8"/>
    <mergeCell ref="C7:C8"/>
    <mergeCell ref="D7:D8"/>
    <mergeCell ref="E7:E8"/>
    <mergeCell ref="F7:F8"/>
    <mergeCell ref="B6:F6"/>
    <mergeCell ref="B2:F2"/>
    <mergeCell ref="B3:F3"/>
    <mergeCell ref="B4:F4"/>
    <mergeCell ref="B5:F5"/>
    <mergeCell ref="C175:F175"/>
    <mergeCell ref="C9:F9"/>
    <mergeCell ref="C12:F12"/>
    <mergeCell ref="C19:F19"/>
    <mergeCell ref="C33:F33"/>
    <mergeCell ref="C67:F67"/>
    <mergeCell ref="C70:F70"/>
    <mergeCell ref="C42:F42"/>
    <mergeCell ref="C49:F49"/>
    <mergeCell ref="C60:F60"/>
    <mergeCell ref="C83:F83"/>
    <mergeCell ref="C90:F90"/>
    <mergeCell ref="C104:F104"/>
    <mergeCell ref="C138:F138"/>
    <mergeCell ref="C173:F173"/>
  </mergeCells>
  <pageMargins left="0.511811024" right="0.511811024" top="0.78740157499999996" bottom="0.78740157499999996" header="0.31496062000000002" footer="0.31496062000000002"/>
  <pageSetup paperSize="9" scale="35" orientation="portrait" r:id="rId1"/>
  <ignoredErrors>
    <ignoredError sqref="D1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2"/>
  <sheetViews>
    <sheetView showGridLines="0" view="pageBreakPreview" topLeftCell="B1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10.7109375" style="2" customWidth="1"/>
    <col min="3" max="3" width="42.85546875" style="2" customWidth="1"/>
    <col min="4" max="4" width="13.7109375" style="2" customWidth="1"/>
    <col min="5" max="5" width="42.85546875" style="2" customWidth="1"/>
    <col min="6" max="6" width="9" style="2" customWidth="1"/>
    <col min="7" max="7" width="18.28515625" style="2" customWidth="1"/>
    <col min="8" max="8" width="13.7109375" style="2" customWidth="1"/>
    <col min="9" max="9" width="18.42578125" style="2" customWidth="1"/>
    <col min="10" max="10" width="13.7109375" style="2" customWidth="1"/>
    <col min="11" max="11" width="42.85546875" style="2" customWidth="1"/>
    <col min="12" max="12" width="9" style="2" customWidth="1"/>
    <col min="13" max="13" width="18.42578125" style="2" customWidth="1"/>
    <col min="14" max="14" width="13.7109375" style="2" customWidth="1"/>
    <col min="15" max="16" width="18.28515625" style="2" customWidth="1"/>
    <col min="17" max="17" width="9" style="2" customWidth="1"/>
    <col min="18" max="16384" width="9.140625" style="2"/>
  </cols>
  <sheetData>
    <row r="1" spans="2:17" x14ac:dyDescent="0.2">
      <c r="Q1" s="1"/>
    </row>
    <row r="2" spans="2:17" ht="21" customHeight="1" x14ac:dyDescent="0.2">
      <c r="B2" s="69" t="s">
        <v>107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"/>
    </row>
    <row r="3" spans="2:17" ht="21" customHeight="1" x14ac:dyDescent="0.2">
      <c r="B3" s="69" t="s">
        <v>105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</row>
    <row r="4" spans="2:17" ht="21" customHeight="1" x14ac:dyDescent="0.2">
      <c r="B4" s="69" t="s">
        <v>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1"/>
    </row>
    <row r="5" spans="2:17" ht="21" customHeight="1" x14ac:dyDescent="0.2">
      <c r="B5" s="69" t="s">
        <v>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"/>
    </row>
    <row r="6" spans="2:17" ht="21" customHeight="1" x14ac:dyDescent="0.2">
      <c r="B6" s="74" t="s">
        <v>31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1"/>
    </row>
    <row r="7" spans="2:17" ht="15" customHeight="1" x14ac:dyDescent="0.2">
      <c r="B7" s="85" t="s">
        <v>20</v>
      </c>
      <c r="C7" s="85"/>
      <c r="D7" s="85"/>
      <c r="E7" s="85" t="s">
        <v>32</v>
      </c>
      <c r="F7" s="85"/>
      <c r="G7" s="85"/>
      <c r="H7" s="85"/>
      <c r="I7" s="85"/>
      <c r="J7" s="85" t="s">
        <v>33</v>
      </c>
      <c r="K7" s="85"/>
      <c r="L7" s="85"/>
      <c r="M7" s="85"/>
      <c r="N7" s="85"/>
      <c r="O7" s="85"/>
      <c r="P7" s="85" t="s">
        <v>30</v>
      </c>
      <c r="Q7" s="1"/>
    </row>
    <row r="8" spans="2:17" x14ac:dyDescent="0.2">
      <c r="B8" s="24" t="s">
        <v>15</v>
      </c>
      <c r="C8" s="24" t="s">
        <v>16</v>
      </c>
      <c r="D8" s="24" t="s">
        <v>21</v>
      </c>
      <c r="E8" s="24" t="s">
        <v>22</v>
      </c>
      <c r="F8" s="24" t="s">
        <v>6</v>
      </c>
      <c r="G8" s="24" t="s">
        <v>23</v>
      </c>
      <c r="H8" s="24" t="s">
        <v>24</v>
      </c>
      <c r="I8" s="24" t="s">
        <v>25</v>
      </c>
      <c r="J8" s="24" t="s">
        <v>26</v>
      </c>
      <c r="K8" s="24" t="s">
        <v>27</v>
      </c>
      <c r="L8" s="24" t="s">
        <v>6</v>
      </c>
      <c r="M8" s="24" t="s">
        <v>28</v>
      </c>
      <c r="N8" s="24" t="s">
        <v>24</v>
      </c>
      <c r="O8" s="24" t="s">
        <v>29</v>
      </c>
      <c r="P8" s="85"/>
      <c r="Q8" s="1"/>
    </row>
    <row r="9" spans="2:17" ht="51" x14ac:dyDescent="0.2">
      <c r="B9" s="17">
        <v>1</v>
      </c>
      <c r="C9" s="36" t="s">
        <v>113</v>
      </c>
      <c r="D9" s="17" t="s">
        <v>114</v>
      </c>
      <c r="E9" s="17"/>
      <c r="F9" s="17"/>
      <c r="G9" s="17"/>
      <c r="H9" s="17"/>
      <c r="I9" s="26">
        <f>ROUND(SUM(I10:I15),2)</f>
        <v>948.1</v>
      </c>
      <c r="J9" s="17"/>
      <c r="K9" s="17"/>
      <c r="L9" s="17"/>
      <c r="M9" s="17"/>
      <c r="N9" s="17"/>
      <c r="O9" s="27">
        <f>ROUND(SUM(O10:O15),2)</f>
        <v>0</v>
      </c>
      <c r="P9" s="26">
        <f>ROUND(SUM(I9,O9),2)</f>
        <v>948.1</v>
      </c>
      <c r="Q9" s="25" t="str">
        <f>B10</f>
        <v>CP-01</v>
      </c>
    </row>
    <row r="10" spans="2:17" ht="51" x14ac:dyDescent="0.2">
      <c r="B10" s="84" t="s">
        <v>93</v>
      </c>
      <c r="C10" s="20"/>
      <c r="D10" s="7">
        <f>IFERROR(VLOOKUP($E10,Insumos_MAT!$C$8:G5033,5,0),"")</f>
        <v>10775</v>
      </c>
      <c r="E10" s="18" t="s">
        <v>122</v>
      </c>
      <c r="F10" s="7" t="str">
        <f>IFERROR(VLOOKUP($E10,Insumos_MAT!$C$8:G5033,2,0),"")</f>
        <v>MÊS</v>
      </c>
      <c r="G10" s="21">
        <f>IFERROR(VLOOKUP($E10,Insumos_MAT!$C$8:G5033,3,0),0)</f>
        <v>780</v>
      </c>
      <c r="H10" s="22">
        <v>1</v>
      </c>
      <c r="I10" s="21">
        <f>IFERROR(G10*H10,0)</f>
        <v>780</v>
      </c>
      <c r="J10" s="7" t="str">
        <f>IFERROR(VLOOKUP($K10,Insumos_MO!$C$8:G5000,5,0),"")</f>
        <v/>
      </c>
      <c r="K10" s="18"/>
      <c r="L10" s="7" t="str">
        <f>IFERROR(VLOOKUP($K10,Insumos_MO!$C$8:G5000,2,0),"")</f>
        <v/>
      </c>
      <c r="M10" s="21" t="str">
        <f>IFERROR(VLOOKUP($K10,Insumos_MO!$C$8:G5000,3,0),"")</f>
        <v/>
      </c>
      <c r="N10" s="22"/>
      <c r="O10" s="23">
        <f>IFERROR(M10*N10,0)</f>
        <v>0</v>
      </c>
      <c r="P10" s="7"/>
      <c r="Q10" s="1"/>
    </row>
    <row r="11" spans="2:17" ht="63.75" x14ac:dyDescent="0.25">
      <c r="B11" s="84"/>
      <c r="C11" s="20"/>
      <c r="D11" s="7">
        <f>IFERROR(VLOOKUP($E11,Insumos_MAT!$C$8:G5034,5,0),"")</f>
        <v>93402</v>
      </c>
      <c r="E11" s="18" t="s">
        <v>124</v>
      </c>
      <c r="F11" s="7" t="str">
        <f>IFERROR(VLOOKUP($E11,Insumos_MAT!$C$8:G5034,2,0),"")</f>
        <v>H</v>
      </c>
      <c r="G11" s="21">
        <f>IFERROR(VLOOKUP($E11,Insumos_MAT!$C$8:G5034,3,0),0)</f>
        <v>252.15</v>
      </c>
      <c r="H11" s="22">
        <f>4/6</f>
        <v>0.66666666666666663</v>
      </c>
      <c r="I11" s="21">
        <f t="shared" ref="I11:I14" si="0">IFERROR(G11*H11,0)</f>
        <v>168.1</v>
      </c>
      <c r="J11" s="7" t="str">
        <f>IFERROR(VLOOKUP($K11,Insumos_MO!$C$8:G5001,5,0),"")</f>
        <v/>
      </c>
      <c r="K11" s="18"/>
      <c r="L11" s="7" t="str">
        <f>IFERROR(VLOOKUP($K11,Insumos_MO!$C$8:G5001,2,0),"")</f>
        <v/>
      </c>
      <c r="M11" s="21" t="str">
        <f>IFERROR(VLOOKUP($K11,Insumos_MO!$C$8:G5001,3,0),"")</f>
        <v/>
      </c>
      <c r="N11" s="22"/>
      <c r="O11" s="23">
        <f t="shared" ref="O11:O14" si="1">IFERROR(M11*N11,0)</f>
        <v>0</v>
      </c>
      <c r="P11" s="7"/>
    </row>
    <row r="12" spans="2:17" x14ac:dyDescent="0.25">
      <c r="B12" s="84"/>
      <c r="C12" s="20"/>
      <c r="D12" s="7" t="str">
        <f>IFERROR(VLOOKUP($E12,Insumos_MAT!$C$8:G5035,5,0),"")</f>
        <v/>
      </c>
      <c r="E12" s="18"/>
      <c r="F12" s="7" t="str">
        <f>IFERROR(VLOOKUP($E12,Insumos_MAT!$C$8:G5035,2,0),"")</f>
        <v/>
      </c>
      <c r="G12" s="21">
        <f>IFERROR(VLOOKUP($E12,Insumos_MAT!$C$8:G5035,3,0),0)</f>
        <v>0</v>
      </c>
      <c r="H12" s="22"/>
      <c r="I12" s="21">
        <f t="shared" si="0"/>
        <v>0</v>
      </c>
      <c r="J12" s="7" t="str">
        <f>IFERROR(VLOOKUP($K12,Insumos_MO!$C$8:G5002,5,0),"")</f>
        <v/>
      </c>
      <c r="K12" s="18"/>
      <c r="L12" s="7" t="str">
        <f>IFERROR(VLOOKUP($K12,Insumos_MO!$C$8:G5002,2,0),"")</f>
        <v/>
      </c>
      <c r="M12" s="21" t="str">
        <f>IFERROR(VLOOKUP($K12,Insumos_MO!$C$8:G5002,3,0),"")</f>
        <v/>
      </c>
      <c r="N12" s="22"/>
      <c r="O12" s="23">
        <f t="shared" si="1"/>
        <v>0</v>
      </c>
      <c r="P12" s="7"/>
    </row>
    <row r="13" spans="2:17" x14ac:dyDescent="0.25">
      <c r="B13" s="84"/>
      <c r="C13" s="20"/>
      <c r="D13" s="7" t="str">
        <f>IFERROR(VLOOKUP($E13,Insumos_MAT!$C$8:G5036,5,0),"")</f>
        <v/>
      </c>
      <c r="E13" s="18"/>
      <c r="F13" s="7" t="str">
        <f>IFERROR(VLOOKUP($E13,Insumos_MAT!$C$8:G5036,2,0),"")</f>
        <v/>
      </c>
      <c r="G13" s="21">
        <f>IFERROR(VLOOKUP($E13,Insumos_MAT!$C$8:G5036,3,0),0)</f>
        <v>0</v>
      </c>
      <c r="H13" s="22"/>
      <c r="I13" s="21">
        <f t="shared" si="0"/>
        <v>0</v>
      </c>
      <c r="J13" s="7" t="str">
        <f>IFERROR(VLOOKUP($K13,Insumos_MO!$C$8:G5003,5,0),"")</f>
        <v/>
      </c>
      <c r="K13" s="18"/>
      <c r="L13" s="7" t="str">
        <f>IFERROR(VLOOKUP($K13,Insumos_MO!$C$8:G5003,2,0),"")</f>
        <v/>
      </c>
      <c r="M13" s="21" t="str">
        <f>IFERROR(VLOOKUP($K13,Insumos_MO!$C$8:G5003,3,0),"")</f>
        <v/>
      </c>
      <c r="N13" s="22"/>
      <c r="O13" s="23">
        <f t="shared" si="1"/>
        <v>0</v>
      </c>
      <c r="P13" s="7"/>
    </row>
    <row r="14" spans="2:17" x14ac:dyDescent="0.25">
      <c r="B14" s="84"/>
      <c r="C14" s="20"/>
      <c r="D14" s="7" t="str">
        <f>IFERROR(VLOOKUP($E14,Insumos_MAT!$C$8:G5037,5,0),"")</f>
        <v/>
      </c>
      <c r="E14" s="18"/>
      <c r="F14" s="7" t="str">
        <f>IFERROR(VLOOKUP($E14,Insumos_MAT!$C$8:G5037,2,0),"")</f>
        <v/>
      </c>
      <c r="G14" s="21">
        <f>IFERROR(VLOOKUP($E14,Insumos_MAT!$C$8:G5037,3,0),0)</f>
        <v>0</v>
      </c>
      <c r="H14" s="22"/>
      <c r="I14" s="21">
        <f t="shared" si="0"/>
        <v>0</v>
      </c>
      <c r="J14" s="7" t="str">
        <f>IFERROR(VLOOKUP($K14,Insumos_MO!$C$8:G5004,5,0),"")</f>
        <v/>
      </c>
      <c r="K14" s="18"/>
      <c r="L14" s="7" t="str">
        <f>IFERROR(VLOOKUP($K14,Insumos_MO!$C$8:G5004,2,0),"")</f>
        <v/>
      </c>
      <c r="M14" s="21" t="str">
        <f>IFERROR(VLOOKUP($K14,Insumos_MO!$C$8:G5004,3,0),"")</f>
        <v/>
      </c>
      <c r="N14" s="22"/>
      <c r="O14" s="23">
        <f t="shared" si="1"/>
        <v>0</v>
      </c>
      <c r="P14" s="7"/>
    </row>
    <row r="15" spans="2:17" x14ac:dyDescent="0.25">
      <c r="B15" s="84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</row>
    <row r="16" spans="2:17" ht="38.25" x14ac:dyDescent="0.2">
      <c r="B16" s="17">
        <v>2</v>
      </c>
      <c r="C16" s="36" t="s">
        <v>147</v>
      </c>
      <c r="D16" s="17" t="s">
        <v>6</v>
      </c>
      <c r="E16" s="17"/>
      <c r="F16" s="17"/>
      <c r="G16" s="17"/>
      <c r="H16" s="17"/>
      <c r="I16" s="26">
        <f>ROUND(SUM(I17:I32),2)</f>
        <v>1611.41</v>
      </c>
      <c r="J16" s="17"/>
      <c r="K16" s="17"/>
      <c r="L16" s="17"/>
      <c r="M16" s="17"/>
      <c r="N16" s="17"/>
      <c r="O16" s="27">
        <f>ROUND(SUM(O17:O32),2)</f>
        <v>390.16</v>
      </c>
      <c r="P16" s="26">
        <f>ROUND(SUM(I16,O16),2)</f>
        <v>2001.57</v>
      </c>
      <c r="Q16" s="25" t="str">
        <f>B17</f>
        <v>CP-02</v>
      </c>
    </row>
    <row r="17" spans="2:17" ht="38.25" x14ac:dyDescent="0.2">
      <c r="B17" s="84" t="s">
        <v>95</v>
      </c>
      <c r="C17" s="20"/>
      <c r="D17" s="7">
        <f>IFERROR(VLOOKUP($E17,Insumos_MAT!$C$8:G5040,5,0),"")</f>
        <v>2731</v>
      </c>
      <c r="E17" s="18" t="s">
        <v>140</v>
      </c>
      <c r="F17" s="7" t="str">
        <f>IFERROR(VLOOKUP($E17,Insumos_MAT!$C$8:G5040,2,0),"")</f>
        <v>M</v>
      </c>
      <c r="G17" s="21">
        <f>IFERROR(VLOOKUP($E17,Insumos_MAT!$C$8:G5040,3,0),0)</f>
        <v>157.62</v>
      </c>
      <c r="H17" s="22">
        <v>1</v>
      </c>
      <c r="I17" s="21">
        <f>IFERROR(G17*H17,0)</f>
        <v>157.62</v>
      </c>
      <c r="J17" s="7">
        <f>IFERROR(VLOOKUP($K17,Insumos_MO!$C$8:G5007,5,0),"")</f>
        <v>88264</v>
      </c>
      <c r="K17" s="18" t="s">
        <v>146</v>
      </c>
      <c r="L17" s="7" t="str">
        <f>IFERROR(VLOOKUP($K17,Insumos_MO!$C$8:G5007,2,0),"")</f>
        <v>H</v>
      </c>
      <c r="M17" s="21">
        <f>IFERROR(VLOOKUP($K17,Insumos_MO!$C$8:G5007,3,0),"")</f>
        <v>27.47</v>
      </c>
      <c r="N17" s="22">
        <v>8</v>
      </c>
      <c r="O17" s="23">
        <f>IFERROR(M17*N17,0)</f>
        <v>219.76</v>
      </c>
      <c r="P17" s="7"/>
      <c r="Q17" s="1"/>
    </row>
    <row r="18" spans="2:17" ht="38.25" x14ac:dyDescent="0.25">
      <c r="B18" s="84"/>
      <c r="C18" s="20"/>
      <c r="D18" s="7">
        <f>IFERROR(VLOOKUP($E18,Insumos_MAT!$C$8:G5031,5,0),"")</f>
        <v>1062</v>
      </c>
      <c r="E18" s="18" t="s">
        <v>133</v>
      </c>
      <c r="F18" s="7" t="str">
        <f>IFERROR(VLOOKUP($E18,Insumos_MAT!$C$8:G5031,2,0),"")</f>
        <v>UND</v>
      </c>
      <c r="G18" s="21">
        <f>IFERROR(VLOOKUP($E18,Insumos_MAT!$C$8:G5031,3,0),0)</f>
        <v>288.48</v>
      </c>
      <c r="H18" s="22">
        <v>1</v>
      </c>
      <c r="I18" s="21">
        <f t="shared" ref="I18" si="2">IFERROR(G18*H18,0)</f>
        <v>288.48</v>
      </c>
      <c r="J18" s="7">
        <f>IFERROR(VLOOKUP($K18,Insumos_MO!$C$8:G4998,5,0),"")</f>
        <v>88316</v>
      </c>
      <c r="K18" s="18" t="s">
        <v>145</v>
      </c>
      <c r="L18" s="7" t="str">
        <f>IFERROR(VLOOKUP($K18,Insumos_MO!$C$8:G4998,2,0),"")</f>
        <v>H</v>
      </c>
      <c r="M18" s="21">
        <f>IFERROR(VLOOKUP($K18,Insumos_MO!$C$8:G4998,3,0),"")</f>
        <v>21.3</v>
      </c>
      <c r="N18" s="22">
        <v>8</v>
      </c>
      <c r="O18" s="23">
        <f t="shared" ref="O18" si="3">IFERROR(M18*N18,0)</f>
        <v>170.4</v>
      </c>
      <c r="P18" s="7"/>
    </row>
    <row r="19" spans="2:17" ht="25.5" x14ac:dyDescent="0.25">
      <c r="B19" s="84"/>
      <c r="C19" s="20"/>
      <c r="D19" s="7">
        <f>IFERROR(VLOOKUP($E19,Insumos_MAT!$C$8:G5032,5,0),"")</f>
        <v>2392</v>
      </c>
      <c r="E19" s="18" t="s">
        <v>137</v>
      </c>
      <c r="F19" s="7" t="str">
        <f>IFERROR(VLOOKUP($E19,Insumos_MAT!$C$8:G5032,2,0),"")</f>
        <v>UND</v>
      </c>
      <c r="G19" s="21">
        <f>IFERROR(VLOOKUP($E19,Insumos_MAT!$C$8:G5032,3,0),0)</f>
        <v>69.61</v>
      </c>
      <c r="H19" s="22">
        <v>1</v>
      </c>
      <c r="I19" s="21">
        <f t="shared" ref="I19:I24" si="4">IFERROR(G19*H19,0)</f>
        <v>69.61</v>
      </c>
      <c r="J19" s="7" t="str">
        <f>IFERROR(VLOOKUP($K19,Insumos_MO!$C$8:G4999,5,0),"")</f>
        <v/>
      </c>
      <c r="K19" s="18"/>
      <c r="L19" s="7" t="str">
        <f>IFERROR(VLOOKUP($K19,Insumos_MO!$C$8:G4999,2,0),"")</f>
        <v/>
      </c>
      <c r="M19" s="21" t="str">
        <f>IFERROR(VLOOKUP($K19,Insumos_MO!$C$8:G4999,3,0),"")</f>
        <v/>
      </c>
      <c r="N19" s="22"/>
      <c r="O19" s="23">
        <f t="shared" ref="O19:O24" si="5">IFERROR(M19*N19,0)</f>
        <v>0</v>
      </c>
      <c r="P19" s="7"/>
    </row>
    <row r="20" spans="2:17" ht="38.25" x14ac:dyDescent="0.25">
      <c r="B20" s="84"/>
      <c r="C20" s="20"/>
      <c r="D20" s="7">
        <f>IFERROR(VLOOKUP($E20,Insumos_MAT!$C$8:G5033,5,0),"")</f>
        <v>3379</v>
      </c>
      <c r="E20" s="18" t="s">
        <v>141</v>
      </c>
      <c r="F20" s="7" t="str">
        <f>IFERROR(VLOOKUP($E20,Insumos_MAT!$C$8:G5033,2,0),"")</f>
        <v>UND</v>
      </c>
      <c r="G20" s="21">
        <f>IFERROR(VLOOKUP($E20,Insumos_MAT!$C$8:G5033,3,0),0)</f>
        <v>103.79</v>
      </c>
      <c r="H20" s="22">
        <v>1</v>
      </c>
      <c r="I20" s="21">
        <f t="shared" si="4"/>
        <v>103.79</v>
      </c>
      <c r="J20" s="7" t="str">
        <f>IFERROR(VLOOKUP($K20,Insumos_MO!$C$8:G5000,5,0),"")</f>
        <v/>
      </c>
      <c r="K20" s="18"/>
      <c r="L20" s="7" t="str">
        <f>IFERROR(VLOOKUP($K20,Insumos_MO!$C$8:G5000,2,0),"")</f>
        <v/>
      </c>
      <c r="M20" s="21" t="str">
        <f>IFERROR(VLOOKUP($K20,Insumos_MO!$C$8:G5000,3,0),"")</f>
        <v/>
      </c>
      <c r="N20" s="22"/>
      <c r="O20" s="23">
        <f t="shared" si="5"/>
        <v>0</v>
      </c>
      <c r="P20" s="7"/>
    </row>
    <row r="21" spans="2:17" ht="25.5" x14ac:dyDescent="0.25">
      <c r="B21" s="84"/>
      <c r="C21" s="20"/>
      <c r="D21" s="7">
        <f>IFERROR(VLOOKUP($E21,Insumos_MAT!$C$8:G5034,5,0),"")</f>
        <v>2685</v>
      </c>
      <c r="E21" s="18" t="s">
        <v>138</v>
      </c>
      <c r="F21" s="7" t="str">
        <f>IFERROR(VLOOKUP($E21,Insumos_MAT!$C$8:G5034,2,0),"")</f>
        <v>M</v>
      </c>
      <c r="G21" s="21">
        <f>IFERROR(VLOOKUP($E21,Insumos_MAT!$C$8:G5034,3,0),0)</f>
        <v>10.35</v>
      </c>
      <c r="H21" s="22">
        <v>8</v>
      </c>
      <c r="I21" s="21">
        <f t="shared" si="4"/>
        <v>82.8</v>
      </c>
      <c r="J21" s="7" t="str">
        <f>IFERROR(VLOOKUP($K21,Insumos_MO!$C$8:G5001,5,0),"")</f>
        <v/>
      </c>
      <c r="K21" s="18"/>
      <c r="L21" s="7" t="str">
        <f>IFERROR(VLOOKUP($K21,Insumos_MO!$C$8:G5001,2,0),"")</f>
        <v/>
      </c>
      <c r="M21" s="21" t="str">
        <f>IFERROR(VLOOKUP($K21,Insumos_MO!$C$8:G5001,3,0),"")</f>
        <v/>
      </c>
      <c r="N21" s="22"/>
      <c r="O21" s="23">
        <f t="shared" si="5"/>
        <v>0</v>
      </c>
      <c r="P21" s="7"/>
    </row>
    <row r="22" spans="2:17" ht="38.25" x14ac:dyDescent="0.25">
      <c r="B22" s="84"/>
      <c r="C22" s="20"/>
      <c r="D22" s="7">
        <f>IFERROR(VLOOKUP($E22,Insumos_MAT!$C$8:G5035,5,0),"")</f>
        <v>979</v>
      </c>
      <c r="E22" s="18" t="s">
        <v>132</v>
      </c>
      <c r="F22" s="7" t="str">
        <f>IFERROR(VLOOKUP($E22,Insumos_MAT!$C$8:G5035,2,0),"")</f>
        <v>M</v>
      </c>
      <c r="G22" s="21">
        <f>IFERROR(VLOOKUP($E22,Insumos_MAT!$C$8:G5035,3,0),0)</f>
        <v>14.6</v>
      </c>
      <c r="H22" s="22">
        <v>30</v>
      </c>
      <c r="I22" s="21">
        <f t="shared" si="4"/>
        <v>438</v>
      </c>
      <c r="J22" s="7" t="str">
        <f>IFERROR(VLOOKUP($K22,Insumos_MO!$C$8:G5002,5,0),"")</f>
        <v/>
      </c>
      <c r="K22" s="18"/>
      <c r="L22" s="7" t="str">
        <f>IFERROR(VLOOKUP($K22,Insumos_MO!$C$8:G5002,2,0),"")</f>
        <v/>
      </c>
      <c r="M22" s="21" t="str">
        <f>IFERROR(VLOOKUP($K22,Insumos_MO!$C$8:G5002,3,0),"")</f>
        <v/>
      </c>
      <c r="N22" s="22"/>
      <c r="O22" s="23">
        <f t="shared" si="5"/>
        <v>0</v>
      </c>
      <c r="P22" s="7"/>
    </row>
    <row r="23" spans="2:17" ht="25.5" x14ac:dyDescent="0.25">
      <c r="B23" s="84"/>
      <c r="C23" s="20"/>
      <c r="D23" s="7">
        <f>IFERROR(VLOOKUP($E23,Insumos_MAT!$C$8:G5036,5,0),"")</f>
        <v>1539</v>
      </c>
      <c r="E23" s="18" t="s">
        <v>135</v>
      </c>
      <c r="F23" s="7" t="str">
        <f>IFERROR(VLOOKUP($E23,Insumos_MAT!$C$8:G5036,2,0),"")</f>
        <v>UND</v>
      </c>
      <c r="G23" s="21">
        <f>IFERROR(VLOOKUP($E23,Insumos_MAT!$C$8:G5036,3,0),0)</f>
        <v>9.11</v>
      </c>
      <c r="H23" s="22">
        <v>8</v>
      </c>
      <c r="I23" s="21">
        <f t="shared" si="4"/>
        <v>72.88</v>
      </c>
      <c r="J23" s="7" t="str">
        <f>IFERROR(VLOOKUP($K23,Insumos_MO!$C$8:G5003,5,0),"")</f>
        <v/>
      </c>
      <c r="K23" s="18"/>
      <c r="L23" s="7" t="str">
        <f>IFERROR(VLOOKUP($K23,Insumos_MO!$C$8:G5003,2,0),"")</f>
        <v/>
      </c>
      <c r="M23" s="21" t="str">
        <f>IFERROR(VLOOKUP($K23,Insumos_MO!$C$8:G5003,3,0),"")</f>
        <v/>
      </c>
      <c r="N23" s="22"/>
      <c r="O23" s="23">
        <f t="shared" si="5"/>
        <v>0</v>
      </c>
      <c r="P23" s="7"/>
    </row>
    <row r="24" spans="2:17" ht="25.5" x14ac:dyDescent="0.25">
      <c r="B24" s="84"/>
      <c r="C24" s="20"/>
      <c r="D24" s="7">
        <f>IFERROR(VLOOKUP($E24,Insumos_MAT!$C$8:G5037,5,0),"")</f>
        <v>1892</v>
      </c>
      <c r="E24" s="18" t="s">
        <v>136</v>
      </c>
      <c r="F24" s="7" t="str">
        <f>IFERROR(VLOOKUP($E24,Insumos_MAT!$C$8:G5037,2,0),"")</f>
        <v>UND</v>
      </c>
      <c r="G24" s="21">
        <f>IFERROR(VLOOKUP($E24,Insumos_MAT!$C$8:G5037,3,0),0)</f>
        <v>1.95</v>
      </c>
      <c r="H24" s="22">
        <v>4</v>
      </c>
      <c r="I24" s="21">
        <f t="shared" si="4"/>
        <v>7.8</v>
      </c>
      <c r="J24" s="7" t="str">
        <f>IFERROR(VLOOKUP($K24,Insumos_MO!$C$8:G5004,5,0),"")</f>
        <v/>
      </c>
      <c r="K24" s="18"/>
      <c r="L24" s="7" t="str">
        <f>IFERROR(VLOOKUP($K24,Insumos_MO!$C$8:G5004,2,0),"")</f>
        <v/>
      </c>
      <c r="M24" s="21" t="str">
        <f>IFERROR(VLOOKUP($K24,Insumos_MO!$C$8:G5004,3,0),"")</f>
        <v/>
      </c>
      <c r="N24" s="22"/>
      <c r="O24" s="23">
        <f t="shared" si="5"/>
        <v>0</v>
      </c>
      <c r="P24" s="7"/>
    </row>
    <row r="25" spans="2:17" ht="25.5" x14ac:dyDescent="0.25">
      <c r="B25" s="84"/>
      <c r="C25" s="20"/>
      <c r="D25" s="7">
        <f>IFERROR(VLOOKUP($E25,Insumos_MAT!$C$8:G5038,5,0),"")</f>
        <v>12034</v>
      </c>
      <c r="E25" s="18" t="s">
        <v>144</v>
      </c>
      <c r="F25" s="7" t="str">
        <f>IFERROR(VLOOKUP($E25,Insumos_MAT!$C$8:G5038,2,0),"")</f>
        <v>UND</v>
      </c>
      <c r="G25" s="21">
        <f>IFERROR(VLOOKUP($E25,Insumos_MAT!$C$8:G5038,3,0),0)</f>
        <v>5.53</v>
      </c>
      <c r="H25" s="22">
        <v>2</v>
      </c>
      <c r="I25" s="21">
        <f t="shared" ref="I25:I27" si="6">IFERROR(G25*H25,0)</f>
        <v>11.06</v>
      </c>
      <c r="J25" s="7" t="str">
        <f>IFERROR(VLOOKUP($K25,Insumos_MO!$C$8:G5005,5,0),"")</f>
        <v/>
      </c>
      <c r="K25" s="18"/>
      <c r="L25" s="7" t="str">
        <f>IFERROR(VLOOKUP($K25,Insumos_MO!$C$8:G5005,2,0),"")</f>
        <v/>
      </c>
      <c r="M25" s="21" t="str">
        <f>IFERROR(VLOOKUP($K25,Insumos_MO!$C$8:G5005,3,0),"")</f>
        <v/>
      </c>
      <c r="N25" s="22"/>
      <c r="O25" s="23">
        <f t="shared" ref="O25:O27" si="7">IFERROR(M25*N25,0)</f>
        <v>0</v>
      </c>
      <c r="P25" s="7"/>
    </row>
    <row r="26" spans="2:17" ht="38.25" x14ac:dyDescent="0.25">
      <c r="B26" s="84"/>
      <c r="C26" s="20"/>
      <c r="D26" s="7">
        <f>IFERROR(VLOOKUP($E26,Insumos_MAT!$C$8:G5039,5,0),"")</f>
        <v>392</v>
      </c>
      <c r="E26" s="18" t="s">
        <v>131</v>
      </c>
      <c r="F26" s="7" t="str">
        <f>IFERROR(VLOOKUP($E26,Insumos_MAT!$C$8:G5039,2,0),"")</f>
        <v>UND</v>
      </c>
      <c r="G26" s="21">
        <f>IFERROR(VLOOKUP($E26,Insumos_MAT!$C$8:G5039,3,0),0)</f>
        <v>2.02</v>
      </c>
      <c r="H26" s="22">
        <v>1</v>
      </c>
      <c r="I26" s="21">
        <f t="shared" si="6"/>
        <v>2.02</v>
      </c>
      <c r="J26" s="7" t="str">
        <f>IFERROR(VLOOKUP($K26,Insumos_MO!$C$8:G5006,5,0),"")</f>
        <v/>
      </c>
      <c r="K26" s="18"/>
      <c r="L26" s="7" t="str">
        <f>IFERROR(VLOOKUP($K26,Insumos_MO!$C$8:G5006,2,0),"")</f>
        <v/>
      </c>
      <c r="M26" s="21" t="str">
        <f>IFERROR(VLOOKUP($K26,Insumos_MO!$C$8:G5006,3,0),"")</f>
        <v/>
      </c>
      <c r="N26" s="22"/>
      <c r="O26" s="23">
        <f t="shared" si="7"/>
        <v>0</v>
      </c>
      <c r="P26" s="7"/>
    </row>
    <row r="27" spans="2:17" ht="38.25" x14ac:dyDescent="0.25">
      <c r="B27" s="84"/>
      <c r="C27" s="20"/>
      <c r="D27" s="7">
        <f>IFERROR(VLOOKUP($E27,Insumos_MAT!$C$8:G5040,5,0),"")</f>
        <v>420</v>
      </c>
      <c r="E27" s="18" t="s">
        <v>130</v>
      </c>
      <c r="F27" s="7" t="str">
        <f>IFERROR(VLOOKUP($E27,Insumos_MAT!$C$8:G5040,2,0),"")</f>
        <v>UND</v>
      </c>
      <c r="G27" s="21">
        <f>IFERROR(VLOOKUP($E27,Insumos_MAT!$C$8:G5040,3,0),0)</f>
        <v>38.99</v>
      </c>
      <c r="H27" s="22">
        <v>2</v>
      </c>
      <c r="I27" s="21">
        <f t="shared" si="6"/>
        <v>77.98</v>
      </c>
      <c r="J27" s="7" t="str">
        <f>IFERROR(VLOOKUP($K27,Insumos_MO!$C$8:G5007,5,0),"")</f>
        <v/>
      </c>
      <c r="K27" s="18"/>
      <c r="L27" s="7" t="str">
        <f>IFERROR(VLOOKUP($K27,Insumos_MO!$C$8:G5007,2,0),"")</f>
        <v/>
      </c>
      <c r="M27" s="21" t="str">
        <f>IFERROR(VLOOKUP($K27,Insumos_MO!$C$8:G5007,3,0),"")</f>
        <v/>
      </c>
      <c r="N27" s="22"/>
      <c r="O27" s="23">
        <f t="shared" si="7"/>
        <v>0</v>
      </c>
      <c r="P27" s="7"/>
    </row>
    <row r="28" spans="2:17" ht="25.5" x14ac:dyDescent="0.25">
      <c r="B28" s="84"/>
      <c r="C28" s="20"/>
      <c r="D28" s="7">
        <f>IFERROR(VLOOKUP($E28,Insumos_MAT!$C$8:G5041,5,0),"")</f>
        <v>406</v>
      </c>
      <c r="E28" s="18" t="s">
        <v>129</v>
      </c>
      <c r="F28" s="7" t="str">
        <f>IFERROR(VLOOKUP($E28,Insumos_MAT!$C$8:G5041,2,0),"")</f>
        <v>UND</v>
      </c>
      <c r="G28" s="21">
        <f>IFERROR(VLOOKUP($E28,Insumos_MAT!$C$8:G5041,3,0),0)</f>
        <v>106.07</v>
      </c>
      <c r="H28" s="22">
        <v>0.13320000000000001</v>
      </c>
      <c r="I28" s="21">
        <f t="shared" ref="I28:I31" si="8">IFERROR(G28*H28,0)</f>
        <v>14.128524000000001</v>
      </c>
      <c r="J28" s="7" t="str">
        <f>IFERROR(VLOOKUP($K28,Insumos_MO!$C$8:G5008,5,0),"")</f>
        <v/>
      </c>
      <c r="K28" s="18"/>
      <c r="L28" s="7" t="str">
        <f>IFERROR(VLOOKUP($K28,Insumos_MO!$C$8:G5008,2,0),"")</f>
        <v/>
      </c>
      <c r="M28" s="21" t="str">
        <f>IFERROR(VLOOKUP($K28,Insumos_MO!$C$8:G5008,3,0),"")</f>
        <v/>
      </c>
      <c r="N28" s="22"/>
      <c r="O28" s="23">
        <f t="shared" ref="O28:O31" si="9">IFERROR(M28*N28,0)</f>
        <v>0</v>
      </c>
      <c r="P28" s="7"/>
    </row>
    <row r="29" spans="2:17" ht="38.25" x14ac:dyDescent="0.25">
      <c r="B29" s="84"/>
      <c r="C29" s="20"/>
      <c r="D29" s="7">
        <f>IFERROR(VLOOKUP($E29,Insumos_MAT!$C$8:G5042,5,0),"")</f>
        <v>1096</v>
      </c>
      <c r="E29" s="18" t="s">
        <v>134</v>
      </c>
      <c r="F29" s="7" t="str">
        <f>IFERROR(VLOOKUP($E29,Insumos_MAT!$C$8:G5042,2,0),"")</f>
        <v>UND</v>
      </c>
      <c r="G29" s="21">
        <f>IFERROR(VLOOKUP($E29,Insumos_MAT!$C$8:G5042,3,0),0)</f>
        <v>129.38999999999999</v>
      </c>
      <c r="H29" s="22">
        <v>2</v>
      </c>
      <c r="I29" s="21">
        <f t="shared" si="8"/>
        <v>258.77999999999997</v>
      </c>
      <c r="J29" s="7" t="str">
        <f>IFERROR(VLOOKUP($K29,Insumos_MO!$C$8:G5009,5,0),"")</f>
        <v/>
      </c>
      <c r="K29" s="18"/>
      <c r="L29" s="7" t="str">
        <f>IFERROR(VLOOKUP($K29,Insumos_MO!$C$8:G5009,2,0),"")</f>
        <v/>
      </c>
      <c r="M29" s="21" t="str">
        <f>IFERROR(VLOOKUP($K29,Insumos_MO!$C$8:G5009,3,0),"")</f>
        <v/>
      </c>
      <c r="N29" s="22"/>
      <c r="O29" s="23">
        <f t="shared" si="9"/>
        <v>0</v>
      </c>
      <c r="P29" s="7"/>
    </row>
    <row r="30" spans="2:17" ht="38.25" x14ac:dyDescent="0.25">
      <c r="B30" s="84"/>
      <c r="C30" s="20"/>
      <c r="D30" s="7">
        <f>IFERROR(VLOOKUP($E30,Insumos_MAT!$C$8:G5043,5,0),"")</f>
        <v>4346</v>
      </c>
      <c r="E30" s="18" t="s">
        <v>142</v>
      </c>
      <c r="F30" s="7" t="str">
        <f>IFERROR(VLOOKUP($E30,Insumos_MAT!$C$8:G5043,2,0),"")</f>
        <v>UND</v>
      </c>
      <c r="G30" s="21">
        <f>IFERROR(VLOOKUP($E30,Insumos_MAT!$C$8:G5043,3,0),0)</f>
        <v>11.67</v>
      </c>
      <c r="H30" s="22">
        <v>2</v>
      </c>
      <c r="I30" s="21">
        <f t="shared" si="8"/>
        <v>23.34</v>
      </c>
      <c r="J30" s="7" t="str">
        <f>IFERROR(VLOOKUP($K30,Insumos_MO!$C$8:G5010,5,0),"")</f>
        <v/>
      </c>
      <c r="K30" s="18"/>
      <c r="L30" s="7" t="str">
        <f>IFERROR(VLOOKUP($K30,Insumos_MO!$C$8:G5010,2,0),"")</f>
        <v/>
      </c>
      <c r="M30" s="21" t="str">
        <f>IFERROR(VLOOKUP($K30,Insumos_MO!$C$8:G5010,3,0),"")</f>
        <v/>
      </c>
      <c r="N30" s="22"/>
      <c r="O30" s="23">
        <f t="shared" si="9"/>
        <v>0</v>
      </c>
      <c r="P30" s="7"/>
    </row>
    <row r="31" spans="2:17" ht="51" x14ac:dyDescent="0.25">
      <c r="B31" s="84"/>
      <c r="C31" s="20"/>
      <c r="D31" s="7">
        <f>IFERROR(VLOOKUP($E31,Insumos_MAT!$C$8:G5044,5,0),"")</f>
        <v>11267</v>
      </c>
      <c r="E31" s="18" t="s">
        <v>143</v>
      </c>
      <c r="F31" s="7" t="str">
        <f>IFERROR(VLOOKUP($E31,Insumos_MAT!$C$8:G5044,2,0),"")</f>
        <v>UND</v>
      </c>
      <c r="G31" s="21">
        <f>IFERROR(VLOOKUP($E31,Insumos_MAT!$C$8:G5044,3,0),0)</f>
        <v>1.56</v>
      </c>
      <c r="H31" s="22">
        <v>2</v>
      </c>
      <c r="I31" s="21">
        <f t="shared" si="8"/>
        <v>3.12</v>
      </c>
      <c r="J31" s="7" t="str">
        <f>IFERROR(VLOOKUP($K31,Insumos_MO!$C$8:G5011,5,0),"")</f>
        <v/>
      </c>
      <c r="K31" s="18"/>
      <c r="L31" s="7" t="str">
        <f>IFERROR(VLOOKUP($K31,Insumos_MO!$C$8:G5011,2,0),"")</f>
        <v/>
      </c>
      <c r="M31" s="21" t="str">
        <f>IFERROR(VLOOKUP($K31,Insumos_MO!$C$8:G5011,3,0),"")</f>
        <v/>
      </c>
      <c r="N31" s="22"/>
      <c r="O31" s="23">
        <f t="shared" si="9"/>
        <v>0</v>
      </c>
      <c r="P31" s="7"/>
    </row>
    <row r="32" spans="2:17" x14ac:dyDescent="0.25">
      <c r="B32" s="84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2:17" x14ac:dyDescent="0.2">
      <c r="B33" s="17">
        <v>3</v>
      </c>
      <c r="C33" s="36" t="s">
        <v>158</v>
      </c>
      <c r="D33" s="17" t="s">
        <v>6</v>
      </c>
      <c r="E33" s="17"/>
      <c r="F33" s="17"/>
      <c r="G33" s="17"/>
      <c r="H33" s="17"/>
      <c r="I33" s="26">
        <f>ROUND(SUM(I34:I42),2)</f>
        <v>520.46</v>
      </c>
      <c r="J33" s="17"/>
      <c r="K33" s="17"/>
      <c r="L33" s="17"/>
      <c r="M33" s="17"/>
      <c r="N33" s="17"/>
      <c r="O33" s="27">
        <f>ROUND(SUM(O34:O42),2)</f>
        <v>93.82</v>
      </c>
      <c r="P33" s="26">
        <f>ROUND(SUM(I33,O33),2)</f>
        <v>614.28</v>
      </c>
      <c r="Q33" s="25" t="str">
        <f>B34</f>
        <v>CP-03</v>
      </c>
    </row>
    <row r="34" spans="2:17" ht="51" x14ac:dyDescent="0.2">
      <c r="B34" s="84" t="s">
        <v>96</v>
      </c>
      <c r="C34" s="20"/>
      <c r="D34" s="7">
        <f>IFERROR(VLOOKUP($E34,Insumos_MAT!$C$8:G5047,5,0),"")</f>
        <v>95634</v>
      </c>
      <c r="E34" s="18" t="s">
        <v>155</v>
      </c>
      <c r="F34" s="7" t="str">
        <f>IFERROR(VLOOKUP($E34,Insumos_MAT!$C$8:G5047,2,0),"")</f>
        <v>UND</v>
      </c>
      <c r="G34" s="21">
        <f>IFERROR(VLOOKUP($E34,Insumos_MAT!$C$8:G5047,3,0),0)</f>
        <v>244.13</v>
      </c>
      <c r="H34" s="22">
        <v>1</v>
      </c>
      <c r="I34" s="21">
        <f>IFERROR(G34*H34,0)</f>
        <v>244.13</v>
      </c>
      <c r="J34" s="7">
        <f>IFERROR(VLOOKUP($K34,Insumos_MO!$C$8:G5014,5,0),"")</f>
        <v>88267</v>
      </c>
      <c r="K34" s="18" t="s">
        <v>148</v>
      </c>
      <c r="L34" s="7" t="str">
        <f>IFERROR(VLOOKUP($K34,Insumos_MO!$C$8:G5014,2,0),"")</f>
        <v>H</v>
      </c>
      <c r="M34" s="21">
        <f>IFERROR(VLOOKUP($K34,Insumos_MO!$C$8:G5014,3,0),"")</f>
        <v>27.39</v>
      </c>
      <c r="N34" s="22">
        <v>1.5</v>
      </c>
      <c r="O34" s="23">
        <f>IFERROR(M34*N34,0)</f>
        <v>41.085000000000001</v>
      </c>
      <c r="P34" s="7"/>
      <c r="Q34" s="1"/>
    </row>
    <row r="35" spans="2:17" ht="25.5" x14ac:dyDescent="0.25">
      <c r="B35" s="84"/>
      <c r="C35" s="20"/>
      <c r="D35" s="7">
        <f>IFERROR(VLOOKUP($E35,Insumos_MAT!$C$8:G5045,5,0),"")</f>
        <v>95675</v>
      </c>
      <c r="E35" s="18" t="s">
        <v>157</v>
      </c>
      <c r="F35" s="7" t="str">
        <f>IFERROR(VLOOKUP($E35,Insumos_MAT!$C$8:G5045,2,0),"")</f>
        <v>UND</v>
      </c>
      <c r="G35" s="21">
        <f>IFERROR(VLOOKUP($E35,Insumos_MAT!$C$8:G5045,3,0),0)</f>
        <v>232.02</v>
      </c>
      <c r="H35" s="22">
        <v>1</v>
      </c>
      <c r="I35" s="21">
        <f t="shared" ref="I35:I37" si="10">IFERROR(G35*H35,0)</f>
        <v>232.02</v>
      </c>
      <c r="J35" s="7">
        <f>IFERROR(VLOOKUP($K35,Insumos_MO!$C$8:G5012,5,0),"")</f>
        <v>88248</v>
      </c>
      <c r="K35" s="18" t="s">
        <v>149</v>
      </c>
      <c r="L35" s="7" t="str">
        <f>IFERROR(VLOOKUP($K35,Insumos_MO!$C$8:G5012,2,0),"")</f>
        <v>H</v>
      </c>
      <c r="M35" s="21">
        <f>IFERROR(VLOOKUP($K35,Insumos_MO!$C$8:G5012,3,0),"")</f>
        <v>23.95</v>
      </c>
      <c r="N35" s="22">
        <f>1.252+0.95</f>
        <v>2.202</v>
      </c>
      <c r="O35" s="23">
        <f t="shared" ref="O35:O37" si="11">IFERROR(M35*N35,0)</f>
        <v>52.737899999999996</v>
      </c>
      <c r="P35" s="7"/>
    </row>
    <row r="36" spans="2:17" ht="25.5" x14ac:dyDescent="0.25">
      <c r="B36" s="84"/>
      <c r="C36" s="20"/>
      <c r="D36" s="7">
        <f>IFERROR(VLOOKUP($E36,Insumos_MAT!$C$8:G5046,5,0),"")</f>
        <v>6029</v>
      </c>
      <c r="E36" s="18" t="s">
        <v>153</v>
      </c>
      <c r="F36" s="7" t="str">
        <f>IFERROR(VLOOKUP($E36,Insumos_MAT!$C$8:G5046,2,0),"")</f>
        <v>UND</v>
      </c>
      <c r="G36" s="21">
        <f>IFERROR(VLOOKUP($E36,Insumos_MAT!$C$8:G5046,3,0),0)</f>
        <v>27.8</v>
      </c>
      <c r="H36" s="22">
        <v>1</v>
      </c>
      <c r="I36" s="21">
        <f t="shared" si="10"/>
        <v>27.8</v>
      </c>
      <c r="J36" s="7" t="str">
        <f>IFERROR(VLOOKUP($K36,Insumos_MO!$C$8:G5013,5,0),"")</f>
        <v/>
      </c>
      <c r="K36" s="18"/>
      <c r="L36" s="7" t="str">
        <f>IFERROR(VLOOKUP($K36,Insumos_MO!$C$8:G5013,2,0),"")</f>
        <v/>
      </c>
      <c r="M36" s="21" t="str">
        <f>IFERROR(VLOOKUP($K36,Insumos_MO!$C$8:G5013,3,0),"")</f>
        <v/>
      </c>
      <c r="N36" s="22"/>
      <c r="O36" s="23">
        <f t="shared" si="11"/>
        <v>0</v>
      </c>
      <c r="P36" s="7"/>
    </row>
    <row r="37" spans="2:17" ht="38.25" x14ac:dyDescent="0.25">
      <c r="B37" s="84"/>
      <c r="C37" s="20"/>
      <c r="D37" s="7">
        <f>IFERROR(VLOOKUP($E37,Insumos_MAT!$C$8:G5047,5,0),"")</f>
        <v>1419</v>
      </c>
      <c r="E37" s="18" t="s">
        <v>150</v>
      </c>
      <c r="F37" s="7" t="str">
        <f>IFERROR(VLOOKUP($E37,Insumos_MAT!$C$8:G5047,2,0),"")</f>
        <v>UND</v>
      </c>
      <c r="G37" s="21">
        <f>IFERROR(VLOOKUP($E37,Insumos_MAT!$C$8:G5047,3,0),0)</f>
        <v>9.5</v>
      </c>
      <c r="H37" s="22">
        <v>1</v>
      </c>
      <c r="I37" s="21">
        <f t="shared" si="10"/>
        <v>9.5</v>
      </c>
      <c r="J37" s="7" t="str">
        <f>IFERROR(VLOOKUP($K37,Insumos_MO!$C$8:G5014,5,0),"")</f>
        <v/>
      </c>
      <c r="K37" s="18"/>
      <c r="L37" s="7" t="str">
        <f>IFERROR(VLOOKUP($K37,Insumos_MO!$C$8:G5014,2,0),"")</f>
        <v/>
      </c>
      <c r="M37" s="21" t="str">
        <f>IFERROR(VLOOKUP($K37,Insumos_MO!$C$8:G5014,3,0),"")</f>
        <v/>
      </c>
      <c r="N37" s="22"/>
      <c r="O37" s="23">
        <f t="shared" si="11"/>
        <v>0</v>
      </c>
      <c r="P37" s="7"/>
    </row>
    <row r="38" spans="2:17" ht="25.5" x14ac:dyDescent="0.25">
      <c r="B38" s="84"/>
      <c r="C38" s="20"/>
      <c r="D38" s="7">
        <f>IFERROR(VLOOKUP($E38,Insumos_MAT!$C$8:G5048,5,0),"")</f>
        <v>3907</v>
      </c>
      <c r="E38" s="18" t="s">
        <v>152</v>
      </c>
      <c r="F38" s="7" t="str">
        <f>IFERROR(VLOOKUP($E38,Insumos_MAT!$C$8:G5048,2,0),"")</f>
        <v>UND</v>
      </c>
      <c r="G38" s="21">
        <f>IFERROR(VLOOKUP($E38,Insumos_MAT!$C$8:G5048,3,0),0)</f>
        <v>6.06</v>
      </c>
      <c r="H38" s="22">
        <v>1</v>
      </c>
      <c r="I38" s="21">
        <f t="shared" ref="I38:I41" si="12">IFERROR(G38*H38,0)</f>
        <v>6.06</v>
      </c>
      <c r="J38" s="7" t="str">
        <f>IFERROR(VLOOKUP($K38,Insumos_MO!$C$8:G5015,5,0),"")</f>
        <v/>
      </c>
      <c r="K38" s="18"/>
      <c r="L38" s="7" t="str">
        <f>IFERROR(VLOOKUP($K38,Insumos_MO!$C$8:G5015,2,0),"")</f>
        <v/>
      </c>
      <c r="M38" s="21" t="str">
        <f>IFERROR(VLOOKUP($K38,Insumos_MO!$C$8:G5015,3,0),"")</f>
        <v/>
      </c>
      <c r="N38" s="22"/>
      <c r="O38" s="23">
        <f t="shared" ref="O38:O41" si="13">IFERROR(M38*N38,0)</f>
        <v>0</v>
      </c>
      <c r="P38" s="7"/>
    </row>
    <row r="39" spans="2:17" x14ac:dyDescent="0.25">
      <c r="B39" s="84"/>
      <c r="C39" s="20"/>
      <c r="D39" s="7">
        <f>IFERROR(VLOOKUP($E39,Insumos_MAT!$C$8:G5049,5,0),"")</f>
        <v>122</v>
      </c>
      <c r="E39" s="18" t="s">
        <v>154</v>
      </c>
      <c r="F39" s="7" t="str">
        <f>IFERROR(VLOOKUP($E39,Insumos_MAT!$C$8:G5049,2,0),"")</f>
        <v>UND</v>
      </c>
      <c r="G39" s="21">
        <f>IFERROR(VLOOKUP($E39,Insumos_MAT!$C$8:G5049,3,0),0)</f>
        <v>75.400000000000006</v>
      </c>
      <c r="H39" s="22">
        <v>5.5000000000000002E-5</v>
      </c>
      <c r="I39" s="21">
        <f t="shared" si="12"/>
        <v>4.1470000000000005E-3</v>
      </c>
      <c r="J39" s="7" t="str">
        <f>IFERROR(VLOOKUP($K39,Insumos_MO!$C$8:G5016,5,0),"")</f>
        <v/>
      </c>
      <c r="K39" s="18"/>
      <c r="L39" s="7" t="str">
        <f>IFERROR(VLOOKUP($K39,Insumos_MO!$C$8:G5016,2,0),"")</f>
        <v/>
      </c>
      <c r="M39" s="21" t="str">
        <f>IFERROR(VLOOKUP($K39,Insumos_MO!$C$8:G5016,3,0),"")</f>
        <v/>
      </c>
      <c r="N39" s="22"/>
      <c r="O39" s="23">
        <f t="shared" si="13"/>
        <v>0</v>
      </c>
      <c r="P39" s="7"/>
    </row>
    <row r="40" spans="2:17" ht="25.5" x14ac:dyDescent="0.25">
      <c r="B40" s="84"/>
      <c r="C40" s="20"/>
      <c r="D40" s="7">
        <f>IFERROR(VLOOKUP($E40,Insumos_MAT!$C$8:G5050,5,0),"")</f>
        <v>3148</v>
      </c>
      <c r="E40" s="18" t="s">
        <v>151</v>
      </c>
      <c r="F40" s="7" t="str">
        <f>IFERROR(VLOOKUP($E40,Insumos_MAT!$C$8:G5050,2,0),"")</f>
        <v>UND</v>
      </c>
      <c r="G40" s="21">
        <f>IFERROR(VLOOKUP($E40,Insumos_MAT!$C$8:G5050,3,0),0)</f>
        <v>16.59</v>
      </c>
      <c r="H40" s="22">
        <v>5.6000000000000001E-2</v>
      </c>
      <c r="I40" s="21">
        <f t="shared" si="12"/>
        <v>0.92903999999999998</v>
      </c>
      <c r="J40" s="7" t="str">
        <f>IFERROR(VLOOKUP($K40,Insumos_MO!$C$8:G5017,5,0),"")</f>
        <v/>
      </c>
      <c r="K40" s="18"/>
      <c r="L40" s="7" t="str">
        <f>IFERROR(VLOOKUP($K40,Insumos_MO!$C$8:G5017,2,0),"")</f>
        <v/>
      </c>
      <c r="M40" s="21" t="str">
        <f>IFERROR(VLOOKUP($K40,Insumos_MO!$C$8:G5017,3,0),"")</f>
        <v/>
      </c>
      <c r="N40" s="22"/>
      <c r="O40" s="23">
        <f t="shared" si="13"/>
        <v>0</v>
      </c>
      <c r="P40" s="7"/>
    </row>
    <row r="41" spans="2:17" ht="25.5" x14ac:dyDescent="0.25">
      <c r="B41" s="84"/>
      <c r="C41" s="20"/>
      <c r="D41" s="7">
        <f>IFERROR(VLOOKUP($E41,Insumos_MAT!$C$8:G5051,5,0),"")</f>
        <v>20083</v>
      </c>
      <c r="E41" s="18" t="s">
        <v>156</v>
      </c>
      <c r="F41" s="7" t="str">
        <f>IFERROR(VLOOKUP($E41,Insumos_MAT!$C$8:G5051,2,0),"")</f>
        <v>UND</v>
      </c>
      <c r="G41" s="21">
        <f>IFERROR(VLOOKUP($E41,Insumos_MAT!$C$8:G5051,3,0),0)</f>
        <v>85.43</v>
      </c>
      <c r="H41" s="22">
        <v>2.0000000000000001E-4</v>
      </c>
      <c r="I41" s="21">
        <f t="shared" si="12"/>
        <v>1.7086E-2</v>
      </c>
      <c r="J41" s="7" t="str">
        <f>IFERROR(VLOOKUP($K41,Insumos_MO!$C$8:G5018,5,0),"")</f>
        <v/>
      </c>
      <c r="K41" s="18"/>
      <c r="L41" s="7" t="str">
        <f>IFERROR(VLOOKUP($K41,Insumos_MO!$C$8:G5018,2,0),"")</f>
        <v/>
      </c>
      <c r="M41" s="21" t="str">
        <f>IFERROR(VLOOKUP($K41,Insumos_MO!$C$8:G5018,3,0),"")</f>
        <v/>
      </c>
      <c r="N41" s="22"/>
      <c r="O41" s="23">
        <f t="shared" si="13"/>
        <v>0</v>
      </c>
      <c r="P41" s="7"/>
    </row>
    <row r="42" spans="2:17" x14ac:dyDescent="0.25">
      <c r="B42" s="84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2:17" ht="38.25" x14ac:dyDescent="0.2">
      <c r="B43" s="17">
        <v>4</v>
      </c>
      <c r="C43" s="36" t="s">
        <v>204</v>
      </c>
      <c r="D43" s="17" t="s">
        <v>164</v>
      </c>
      <c r="E43" s="17"/>
      <c r="F43" s="17"/>
      <c r="G43" s="17"/>
      <c r="H43" s="17"/>
      <c r="I43" s="26">
        <f>ROUND(SUM(I44:I49),2)</f>
        <v>4807.5600000000004</v>
      </c>
      <c r="J43" s="17"/>
      <c r="K43" s="17"/>
      <c r="L43" s="17"/>
      <c r="M43" s="17"/>
      <c r="N43" s="17"/>
      <c r="O43" s="27">
        <f>ROUND(SUM(O44:O49),2)</f>
        <v>0</v>
      </c>
      <c r="P43" s="26">
        <f>ROUND(SUM(I43,O43),2)</f>
        <v>4807.5600000000004</v>
      </c>
      <c r="Q43" s="25" t="str">
        <f>B44</f>
        <v>CP-04</v>
      </c>
    </row>
    <row r="44" spans="2:17" ht="38.25" x14ac:dyDescent="0.2">
      <c r="B44" s="84" t="s">
        <v>97</v>
      </c>
      <c r="C44" s="20"/>
      <c r="D44" s="7">
        <f>IFERROR(VLOOKUP($E44,Insumos_MAT!$C$8:G5054,5,0),"")</f>
        <v>95943</v>
      </c>
      <c r="E44" s="18" t="s">
        <v>205</v>
      </c>
      <c r="F44" s="7" t="str">
        <f>IFERROR(VLOOKUP($E44,Insumos_MAT!$C$8:G5054,2,0),"")</f>
        <v>KG</v>
      </c>
      <c r="G44" s="21">
        <f>IFERROR(VLOOKUP($E44,Insumos_MAT!$C$8:G5054,3,0),0)</f>
        <v>22.06</v>
      </c>
      <c r="H44" s="22">
        <v>7.84</v>
      </c>
      <c r="I44" s="21">
        <f>IFERROR(G44*H44,0)</f>
        <v>172.95039999999997</v>
      </c>
      <c r="J44" s="7" t="str">
        <f>IFERROR(VLOOKUP($K44,Insumos_MO!$C$8:G5021,5,0),"")</f>
        <v/>
      </c>
      <c r="K44" s="18"/>
      <c r="L44" s="7" t="str">
        <f>IFERROR(VLOOKUP($K44,Insumos_MO!$C$8:G5021,2,0),"")</f>
        <v/>
      </c>
      <c r="M44" s="21" t="str">
        <f>IFERROR(VLOOKUP($K44,Insumos_MO!$C$8:G5021,3,0),"")</f>
        <v/>
      </c>
      <c r="N44" s="22"/>
      <c r="O44" s="23">
        <f>IFERROR(M44*N44,0)</f>
        <v>0</v>
      </c>
      <c r="P44" s="7"/>
      <c r="Q44" s="1"/>
    </row>
    <row r="45" spans="2:17" ht="38.25" x14ac:dyDescent="0.25">
      <c r="B45" s="84"/>
      <c r="C45" s="20"/>
      <c r="D45" s="7">
        <f>IFERROR(VLOOKUP($E45,Insumos_MAT!$C$8:G5055,5,0),"")</f>
        <v>95946</v>
      </c>
      <c r="E45" s="18" t="s">
        <v>206</v>
      </c>
      <c r="F45" s="7" t="str">
        <f>IFERROR(VLOOKUP($E45,Insumos_MAT!$C$8:G5055,2,0),"")</f>
        <v>KG</v>
      </c>
      <c r="G45" s="21">
        <f>IFERROR(VLOOKUP($E45,Insumos_MAT!$C$8:G5055,3,0),0)</f>
        <v>13.54</v>
      </c>
      <c r="H45" s="22">
        <v>104.16</v>
      </c>
      <c r="I45" s="21">
        <f t="shared" ref="I45:I48" si="14">IFERROR(G45*H45,0)</f>
        <v>1410.3263999999999</v>
      </c>
      <c r="J45" s="7" t="str">
        <f>IFERROR(VLOOKUP($K45,Insumos_MO!$C$8:G5022,5,0),"")</f>
        <v/>
      </c>
      <c r="K45" s="18"/>
      <c r="L45" s="7" t="str">
        <f>IFERROR(VLOOKUP($K45,Insumos_MO!$C$8:G5022,2,0),"")</f>
        <v/>
      </c>
      <c r="M45" s="21" t="str">
        <f>IFERROR(VLOOKUP($K45,Insumos_MO!$C$8:G5022,3,0),"")</f>
        <v/>
      </c>
      <c r="N45" s="22"/>
      <c r="O45" s="23">
        <f t="shared" ref="O45:O48" si="15">IFERROR(M45*N45,0)</f>
        <v>0</v>
      </c>
      <c r="P45" s="7"/>
    </row>
    <row r="46" spans="2:17" ht="38.25" x14ac:dyDescent="0.25">
      <c r="B46" s="84"/>
      <c r="C46" s="20"/>
      <c r="D46" s="7">
        <f>IFERROR(VLOOKUP($E46,Insumos_MAT!$C$8:G5056,5,0),"")</f>
        <v>101975</v>
      </c>
      <c r="E46" s="18" t="s">
        <v>207</v>
      </c>
      <c r="F46" s="7" t="str">
        <f>IFERROR(VLOOKUP($E46,Insumos_MAT!$C$8:G5056,2,0),"")</f>
        <v>M2</v>
      </c>
      <c r="G46" s="21">
        <f>IFERROR(VLOOKUP($E46,Insumos_MAT!$C$8:G5056,3,0),0)</f>
        <v>329.53</v>
      </c>
      <c r="H46" s="22">
        <v>7.85</v>
      </c>
      <c r="I46" s="21">
        <f t="shared" si="14"/>
        <v>2586.8104999999996</v>
      </c>
      <c r="J46" s="7" t="str">
        <f>IFERROR(VLOOKUP($K46,Insumos_MO!$C$8:G5023,5,0),"")</f>
        <v/>
      </c>
      <c r="K46" s="18"/>
      <c r="L46" s="7" t="str">
        <f>IFERROR(VLOOKUP($K46,Insumos_MO!$C$8:G5023,2,0),"")</f>
        <v/>
      </c>
      <c r="M46" s="21" t="str">
        <f>IFERROR(VLOOKUP($K46,Insumos_MO!$C$8:G5023,3,0),"")</f>
        <v/>
      </c>
      <c r="N46" s="22"/>
      <c r="O46" s="23">
        <f t="shared" si="15"/>
        <v>0</v>
      </c>
      <c r="P46" s="7"/>
    </row>
    <row r="47" spans="2:17" ht="51" x14ac:dyDescent="0.25">
      <c r="B47" s="84"/>
      <c r="C47" s="20"/>
      <c r="D47" s="7">
        <f>IFERROR(VLOOKUP($E47,Insumos_MAT!$C$8:G5057,5,0),"")</f>
        <v>103675</v>
      </c>
      <c r="E47" s="18" t="s">
        <v>208</v>
      </c>
      <c r="F47" s="7" t="str">
        <f>IFERROR(VLOOKUP($E47,Insumos_MAT!$C$8:G5057,2,0),"")</f>
        <v>M3</v>
      </c>
      <c r="G47" s="21">
        <f>IFERROR(VLOOKUP($E47,Insumos_MAT!$C$8:G5057,3,0),0)</f>
        <v>637.47</v>
      </c>
      <c r="H47" s="22">
        <v>1</v>
      </c>
      <c r="I47" s="21">
        <f t="shared" si="14"/>
        <v>637.47</v>
      </c>
      <c r="J47" s="7" t="str">
        <f>IFERROR(VLOOKUP($K47,Insumos_MO!$C$8:G5024,5,0),"")</f>
        <v/>
      </c>
      <c r="K47" s="18"/>
      <c r="L47" s="7" t="str">
        <f>IFERROR(VLOOKUP($K47,Insumos_MO!$C$8:G5024,2,0),"")</f>
        <v/>
      </c>
      <c r="M47" s="21" t="str">
        <f>IFERROR(VLOOKUP($K47,Insumos_MO!$C$8:G5024,3,0),"")</f>
        <v/>
      </c>
      <c r="N47" s="22"/>
      <c r="O47" s="23">
        <f t="shared" si="15"/>
        <v>0</v>
      </c>
      <c r="P47" s="7"/>
    </row>
    <row r="48" spans="2:17" x14ac:dyDescent="0.25">
      <c r="B48" s="84"/>
      <c r="C48" s="20"/>
      <c r="D48" s="7" t="str">
        <f>IFERROR(VLOOKUP($E48,Insumos_MAT!$C$8:G5058,5,0),"")</f>
        <v/>
      </c>
      <c r="E48" s="18"/>
      <c r="F48" s="7" t="str">
        <f>IFERROR(VLOOKUP($E48,Insumos_MAT!$C$8:G5058,2,0),"")</f>
        <v/>
      </c>
      <c r="G48" s="21">
        <f>IFERROR(VLOOKUP($E48,Insumos_MAT!$C$8:G5058,3,0),0)</f>
        <v>0</v>
      </c>
      <c r="H48" s="22"/>
      <c r="I48" s="21">
        <f t="shared" si="14"/>
        <v>0</v>
      </c>
      <c r="J48" s="7" t="str">
        <f>IFERROR(VLOOKUP($K48,Insumos_MO!$C$8:G5025,5,0),"")</f>
        <v/>
      </c>
      <c r="K48" s="18"/>
      <c r="L48" s="7" t="str">
        <f>IFERROR(VLOOKUP($K48,Insumos_MO!$C$8:G5025,2,0),"")</f>
        <v/>
      </c>
      <c r="M48" s="21" t="str">
        <f>IFERROR(VLOOKUP($K48,Insumos_MO!$C$8:G5025,3,0),"")</f>
        <v/>
      </c>
      <c r="N48" s="22"/>
      <c r="O48" s="23">
        <f t="shared" si="15"/>
        <v>0</v>
      </c>
      <c r="P48" s="7"/>
    </row>
    <row r="49" spans="2:17" x14ac:dyDescent="0.25">
      <c r="B49" s="84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2:17" ht="38.25" x14ac:dyDescent="0.2">
      <c r="B50" s="17">
        <v>5</v>
      </c>
      <c r="C50" s="36" t="s">
        <v>360</v>
      </c>
      <c r="D50" s="17" t="s">
        <v>139</v>
      </c>
      <c r="E50" s="17"/>
      <c r="F50" s="17"/>
      <c r="G50" s="17"/>
      <c r="H50" s="17"/>
      <c r="I50" s="26">
        <f>ROUND(SUM(I51:I58),2)</f>
        <v>67.02</v>
      </c>
      <c r="J50" s="17"/>
      <c r="K50" s="17"/>
      <c r="L50" s="17"/>
      <c r="M50" s="17"/>
      <c r="N50" s="17"/>
      <c r="O50" s="27">
        <f>ROUND(SUM(O51:O58),2)</f>
        <v>28.88</v>
      </c>
      <c r="P50" s="26">
        <f>ROUND(SUM(I50,O50),2)</f>
        <v>95.9</v>
      </c>
      <c r="Q50" s="25" t="str">
        <f>B51</f>
        <v>CP-05</v>
      </c>
    </row>
    <row r="51" spans="2:17" ht="51" x14ac:dyDescent="0.2">
      <c r="B51" s="84" t="s">
        <v>98</v>
      </c>
      <c r="C51" s="20"/>
      <c r="D51" s="7">
        <f>IFERROR(VLOOKUP($E51,Insumos_MAT!$C$8:G5068,5,0),"")</f>
        <v>36888</v>
      </c>
      <c r="E51" s="18" t="s">
        <v>361</v>
      </c>
      <c r="F51" s="7" t="str">
        <f>IFERROR(VLOOKUP($E51,Insumos_MAT!$C$8:G5068,2,0),"")</f>
        <v>M</v>
      </c>
      <c r="G51" s="21">
        <f>IFERROR(VLOOKUP($E51,Insumos_MAT!$C$8:G5068,3,0),0)</f>
        <v>33.51</v>
      </c>
      <c r="H51" s="22">
        <v>2</v>
      </c>
      <c r="I51" s="21">
        <f>IFERROR(G51*H51,0)</f>
        <v>67.02</v>
      </c>
      <c r="J51" s="7">
        <f>IFERROR(VLOOKUP($K51,Insumos_MO!$C$8:G5035,5,0),"")</f>
        <v>88261</v>
      </c>
      <c r="K51" s="18" t="s">
        <v>362</v>
      </c>
      <c r="L51" s="7" t="str">
        <f>IFERROR(VLOOKUP($K51,Insumos_MO!$C$8:G5035,2,0),"")</f>
        <v>H</v>
      </c>
      <c r="M51" s="21">
        <f>IFERROR(VLOOKUP($K51,Insumos_MO!$C$8:G5035,3,0),"")</f>
        <v>24.3</v>
      </c>
      <c r="N51" s="22">
        <v>0.75</v>
      </c>
      <c r="O51" s="23">
        <f>IFERROR(M51*N51,0)</f>
        <v>18.225000000000001</v>
      </c>
      <c r="P51" s="7"/>
      <c r="Q51" s="1"/>
    </row>
    <row r="52" spans="2:17" x14ac:dyDescent="0.25">
      <c r="B52" s="84"/>
      <c r="C52" s="20"/>
      <c r="D52" s="7" t="str">
        <f>IFERROR(VLOOKUP($E52,Insumos_MAT!$C$8:G5069,5,0),"")</f>
        <v/>
      </c>
      <c r="E52" s="18"/>
      <c r="F52" s="7" t="str">
        <f>IFERROR(VLOOKUP($E52,Insumos_MAT!$C$8:G5069,2,0),"")</f>
        <v/>
      </c>
      <c r="G52" s="21">
        <f>IFERROR(VLOOKUP($E52,Insumos_MAT!$C$8:G5069,3,0),0)</f>
        <v>0</v>
      </c>
      <c r="H52" s="22"/>
      <c r="I52" s="21">
        <f t="shared" ref="I52:I57" si="16">IFERROR(G52*H52,0)</f>
        <v>0</v>
      </c>
      <c r="J52" s="7">
        <f>IFERROR(VLOOKUP($K52,Insumos_MO!$C$8:G5036,5,0),"")</f>
        <v>88316</v>
      </c>
      <c r="K52" s="18" t="s">
        <v>145</v>
      </c>
      <c r="L52" s="7" t="str">
        <f>IFERROR(VLOOKUP($K52,Insumos_MO!$C$8:G5036,2,0),"")</f>
        <v>H</v>
      </c>
      <c r="M52" s="21">
        <f>IFERROR(VLOOKUP($K52,Insumos_MO!$C$8:G5036,3,0),"")</f>
        <v>21.3</v>
      </c>
      <c r="N52" s="22">
        <v>0.5</v>
      </c>
      <c r="O52" s="23">
        <f t="shared" ref="O52:O57" si="17">IFERROR(M52*N52,0)</f>
        <v>10.65</v>
      </c>
      <c r="P52" s="7"/>
    </row>
    <row r="53" spans="2:17" x14ac:dyDescent="0.25">
      <c r="B53" s="84"/>
      <c r="C53" s="20"/>
      <c r="D53" s="7" t="str">
        <f>IFERROR(VLOOKUP($E53,Insumos_MAT!$C$8:G5070,5,0),"")</f>
        <v/>
      </c>
      <c r="E53" s="18"/>
      <c r="F53" s="7" t="str">
        <f>IFERROR(VLOOKUP($E53,Insumos_MAT!$C$8:G5070,2,0),"")</f>
        <v/>
      </c>
      <c r="G53" s="21">
        <f>IFERROR(VLOOKUP($E53,Insumos_MAT!$C$8:G5070,3,0),0)</f>
        <v>0</v>
      </c>
      <c r="H53" s="22"/>
      <c r="I53" s="21">
        <f t="shared" si="16"/>
        <v>0</v>
      </c>
      <c r="J53" s="7" t="str">
        <f>IFERROR(VLOOKUP($K53,Insumos_MO!$C$8:G5037,5,0),"")</f>
        <v/>
      </c>
      <c r="K53" s="18"/>
      <c r="L53" s="7" t="str">
        <f>IFERROR(VLOOKUP($K53,Insumos_MO!$C$8:G5037,2,0),"")</f>
        <v/>
      </c>
      <c r="M53" s="21" t="str">
        <f>IFERROR(VLOOKUP($K53,Insumos_MO!$C$8:G5037,3,0),"")</f>
        <v/>
      </c>
      <c r="N53" s="22"/>
      <c r="O53" s="23">
        <f t="shared" si="17"/>
        <v>0</v>
      </c>
      <c r="P53" s="7"/>
    </row>
    <row r="54" spans="2:17" x14ac:dyDescent="0.25">
      <c r="B54" s="84"/>
      <c r="C54" s="20"/>
      <c r="D54" s="7" t="str">
        <f>IFERROR(VLOOKUP($E54,Insumos_MAT!$C$8:G5071,5,0),"")</f>
        <v/>
      </c>
      <c r="E54" s="18"/>
      <c r="F54" s="7" t="str">
        <f>IFERROR(VLOOKUP($E54,Insumos_MAT!$C$8:G5071,2,0),"")</f>
        <v/>
      </c>
      <c r="G54" s="21">
        <f>IFERROR(VLOOKUP($E54,Insumos_MAT!$C$8:G5071,3,0),0)</f>
        <v>0</v>
      </c>
      <c r="H54" s="22"/>
      <c r="I54" s="21">
        <f t="shared" si="16"/>
        <v>0</v>
      </c>
      <c r="J54" s="7" t="str">
        <f>IFERROR(VLOOKUP($K54,Insumos_MO!$C$8:G5038,5,0),"")</f>
        <v/>
      </c>
      <c r="K54" s="18"/>
      <c r="L54" s="7" t="str">
        <f>IFERROR(VLOOKUP($K54,Insumos_MO!$C$8:G5038,2,0),"")</f>
        <v/>
      </c>
      <c r="M54" s="21" t="str">
        <f>IFERROR(VLOOKUP($K54,Insumos_MO!$C$8:G5038,3,0),"")</f>
        <v/>
      </c>
      <c r="N54" s="22"/>
      <c r="O54" s="23">
        <f t="shared" si="17"/>
        <v>0</v>
      </c>
      <c r="P54" s="7"/>
    </row>
    <row r="55" spans="2:17" x14ac:dyDescent="0.25">
      <c r="B55" s="84"/>
      <c r="C55" s="20"/>
      <c r="D55" s="7" t="str">
        <f>IFERROR(VLOOKUP($E55,Insumos_MAT!$C$8:G5070,5,0),"")</f>
        <v/>
      </c>
      <c r="E55" s="18"/>
      <c r="F55" s="7" t="str">
        <f>IFERROR(VLOOKUP($E55,Insumos_MAT!$C$8:G5070,2,0),"")</f>
        <v/>
      </c>
      <c r="G55" s="21">
        <f>IFERROR(VLOOKUP($E55,Insumos_MAT!$C$8:G5070,3,0),0)</f>
        <v>0</v>
      </c>
      <c r="H55" s="22"/>
      <c r="I55" s="21">
        <f t="shared" si="16"/>
        <v>0</v>
      </c>
      <c r="J55" s="7" t="str">
        <f>IFERROR(VLOOKUP($K55,Insumos_MO!$C$8:G5037,5,0),"")</f>
        <v/>
      </c>
      <c r="K55" s="18"/>
      <c r="L55" s="7" t="str">
        <f>IFERROR(VLOOKUP($K55,Insumos_MO!$C$8:G5037,2,0),"")</f>
        <v/>
      </c>
      <c r="M55" s="21" t="str">
        <f>IFERROR(VLOOKUP($K55,Insumos_MO!$C$8:G5037,3,0),"")</f>
        <v/>
      </c>
      <c r="N55" s="22"/>
      <c r="O55" s="23">
        <f t="shared" si="17"/>
        <v>0</v>
      </c>
      <c r="P55" s="7"/>
    </row>
    <row r="56" spans="2:17" x14ac:dyDescent="0.25">
      <c r="B56" s="84"/>
      <c r="C56" s="20"/>
      <c r="D56" s="7" t="str">
        <f>IFERROR(VLOOKUP($E56,Insumos_MAT!$C$8:G5071,5,0),"")</f>
        <v/>
      </c>
      <c r="E56" s="18"/>
      <c r="F56" s="7" t="str">
        <f>IFERROR(VLOOKUP($E56,Insumos_MAT!$C$8:G5071,2,0),"")</f>
        <v/>
      </c>
      <c r="G56" s="21">
        <f>IFERROR(VLOOKUP($E56,Insumos_MAT!$C$8:G5071,3,0),0)</f>
        <v>0</v>
      </c>
      <c r="H56" s="22"/>
      <c r="I56" s="21">
        <f t="shared" ref="I56" si="18">IFERROR(G56*H56,0)</f>
        <v>0</v>
      </c>
      <c r="J56" s="7" t="str">
        <f>IFERROR(VLOOKUP($K56,Insumos_MO!$C$8:G5038,5,0),"")</f>
        <v/>
      </c>
      <c r="K56" s="18"/>
      <c r="L56" s="7" t="str">
        <f>IFERROR(VLOOKUP($K56,Insumos_MO!$C$8:G5038,2,0),"")</f>
        <v/>
      </c>
      <c r="M56" s="21" t="str">
        <f>IFERROR(VLOOKUP($K56,Insumos_MO!$C$8:G5038,3,0),"")</f>
        <v/>
      </c>
      <c r="N56" s="22"/>
      <c r="O56" s="23">
        <f t="shared" ref="O56" si="19">IFERROR(M56*N56,0)</f>
        <v>0</v>
      </c>
      <c r="P56" s="7"/>
    </row>
    <row r="57" spans="2:17" x14ac:dyDescent="0.25">
      <c r="B57" s="84"/>
      <c r="C57" s="20"/>
      <c r="D57" s="7" t="str">
        <f>IFERROR(VLOOKUP($E57,Insumos_MAT!$C$8:G5072,5,0),"")</f>
        <v/>
      </c>
      <c r="E57" s="18"/>
      <c r="F57" s="7" t="str">
        <f>IFERROR(VLOOKUP($E57,Insumos_MAT!$C$8:G5072,2,0),"")</f>
        <v/>
      </c>
      <c r="G57" s="21">
        <f>IFERROR(VLOOKUP($E57,Insumos_MAT!$C$8:G5072,3,0),0)</f>
        <v>0</v>
      </c>
      <c r="H57" s="22"/>
      <c r="I57" s="21">
        <f t="shared" si="16"/>
        <v>0</v>
      </c>
      <c r="J57" s="7" t="str">
        <f>IFERROR(VLOOKUP($K57,Insumos_MO!$C$8:G5039,5,0),"")</f>
        <v/>
      </c>
      <c r="K57" s="18"/>
      <c r="L57" s="7" t="str">
        <f>IFERROR(VLOOKUP($K57,Insumos_MO!$C$8:G5039,2,0),"")</f>
        <v/>
      </c>
      <c r="M57" s="21" t="str">
        <f>IFERROR(VLOOKUP($K57,Insumos_MO!$C$8:G5039,3,0),"")</f>
        <v/>
      </c>
      <c r="N57" s="22"/>
      <c r="O57" s="23">
        <f t="shared" si="17"/>
        <v>0</v>
      </c>
      <c r="P57" s="7"/>
    </row>
    <row r="58" spans="2:17" x14ac:dyDescent="0.25">
      <c r="B58" s="84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</row>
    <row r="59" spans="2:17" ht="38.25" x14ac:dyDescent="0.2">
      <c r="B59" s="17">
        <v>6</v>
      </c>
      <c r="C59" s="36" t="s">
        <v>387</v>
      </c>
      <c r="D59" s="17" t="s">
        <v>6</v>
      </c>
      <c r="E59" s="17"/>
      <c r="F59" s="17"/>
      <c r="G59" s="17"/>
      <c r="H59" s="17"/>
      <c r="I59" s="26">
        <f>ROUND(SUM(I60:I65),2)</f>
        <v>459.11</v>
      </c>
      <c r="J59" s="17"/>
      <c r="K59" s="17"/>
      <c r="L59" s="17"/>
      <c r="M59" s="17"/>
      <c r="N59" s="17"/>
      <c r="O59" s="27">
        <f>ROUND(SUM(O60:O65),2)</f>
        <v>40.17</v>
      </c>
      <c r="P59" s="26">
        <f>ROUND(SUM(I59,O59),2)</f>
        <v>499.28</v>
      </c>
      <c r="Q59" s="25" t="str">
        <f>B60</f>
        <v>CP-06</v>
      </c>
    </row>
    <row r="60" spans="2:17" ht="38.25" x14ac:dyDescent="0.2">
      <c r="B60" s="84" t="s">
        <v>102</v>
      </c>
      <c r="C60" s="20"/>
      <c r="D60" s="7">
        <f>IFERROR(VLOOKUP($E60,Insumos_MAT!$C$8:G5075,5,0),"")</f>
        <v>37412</v>
      </c>
      <c r="E60" s="18" t="s">
        <v>386</v>
      </c>
      <c r="F60" s="7" t="str">
        <f>IFERROR(VLOOKUP($E60,Insumos_MAT!$C$8:G5075,2,0),"")</f>
        <v>UND</v>
      </c>
      <c r="G60" s="21">
        <f>IFERROR(VLOOKUP($E60,Insumos_MAT!$C$8:G5075,3,0),0)</f>
        <v>300.81</v>
      </c>
      <c r="H60" s="22">
        <v>1</v>
      </c>
      <c r="I60" s="21">
        <f>IFERROR(G60*H60,0)</f>
        <v>300.81</v>
      </c>
      <c r="J60" s="7">
        <f>IFERROR(VLOOKUP($K60,Insumos_MO!$C$8:G5042,5,0),"")</f>
        <v>88267</v>
      </c>
      <c r="K60" s="18" t="s">
        <v>148</v>
      </c>
      <c r="L60" s="7" t="str">
        <f>IFERROR(VLOOKUP($K60,Insumos_MO!$C$8:G5042,2,0),"")</f>
        <v>H</v>
      </c>
      <c r="M60" s="21">
        <f>IFERROR(VLOOKUP($K60,Insumos_MO!$C$8:G5042,3,0),"")</f>
        <v>27.39</v>
      </c>
      <c r="N60" s="22">
        <v>1</v>
      </c>
      <c r="O60" s="23">
        <f>IFERROR(M60*N60,0)</f>
        <v>27.39</v>
      </c>
      <c r="P60" s="7"/>
      <c r="Q60" s="1"/>
    </row>
    <row r="61" spans="2:17" ht="38.25" x14ac:dyDescent="0.25">
      <c r="B61" s="84"/>
      <c r="C61" s="20"/>
      <c r="D61" s="7">
        <f>IFERROR(VLOOKUP($E61,Insumos_MAT!$C$8:G5076,5,0),"")</f>
        <v>86911</v>
      </c>
      <c r="E61" s="18" t="s">
        <v>388</v>
      </c>
      <c r="F61" s="7" t="str">
        <f>IFERROR(VLOOKUP($E61,Insumos_MAT!$C$8:G5076,2,0),"")</f>
        <v>UND</v>
      </c>
      <c r="G61" s="21">
        <f>IFERROR(VLOOKUP($E61,Insumos_MAT!$C$8:G5076,3,0),0)</f>
        <v>137.33000000000001</v>
      </c>
      <c r="H61" s="22">
        <v>1</v>
      </c>
      <c r="I61" s="21">
        <f t="shared" ref="I61:I64" si="20">IFERROR(G61*H61,0)</f>
        <v>137.33000000000001</v>
      </c>
      <c r="J61" s="7">
        <f>IFERROR(VLOOKUP($K61,Insumos_MO!$C$8:G5043,5,0),"")</f>
        <v>88316</v>
      </c>
      <c r="K61" s="18" t="s">
        <v>145</v>
      </c>
      <c r="L61" s="7" t="str">
        <f>IFERROR(VLOOKUP($K61,Insumos_MO!$C$8:G5043,2,0),"")</f>
        <v>H</v>
      </c>
      <c r="M61" s="21">
        <f>IFERROR(VLOOKUP($K61,Insumos_MO!$C$8:G5043,3,0),"")</f>
        <v>21.3</v>
      </c>
      <c r="N61" s="22">
        <v>0.6</v>
      </c>
      <c r="O61" s="23">
        <f t="shared" ref="O61:O64" si="21">IFERROR(M61*N61,0)</f>
        <v>12.78</v>
      </c>
      <c r="P61" s="7"/>
    </row>
    <row r="62" spans="2:17" ht="25.5" x14ac:dyDescent="0.25">
      <c r="B62" s="84"/>
      <c r="C62" s="20"/>
      <c r="D62" s="7">
        <f>IFERROR(VLOOKUP($E62,Insumos_MAT!$C$8:G5077,5,0),"")</f>
        <v>6146</v>
      </c>
      <c r="E62" s="18" t="s">
        <v>389</v>
      </c>
      <c r="F62" s="7" t="str">
        <f>IFERROR(VLOOKUP($E62,Insumos_MAT!$C$8:G5077,2,0),"")</f>
        <v>UND</v>
      </c>
      <c r="G62" s="21">
        <f>IFERROR(VLOOKUP($E62,Insumos_MAT!$C$8:G5077,3,0),0)</f>
        <v>20.97</v>
      </c>
      <c r="H62" s="22">
        <v>1</v>
      </c>
      <c r="I62" s="21">
        <f t="shared" si="20"/>
        <v>20.97</v>
      </c>
      <c r="J62" s="7" t="str">
        <f>IFERROR(VLOOKUP($K62,Insumos_MO!$C$8:G5044,5,0),"")</f>
        <v/>
      </c>
      <c r="K62" s="18"/>
      <c r="L62" s="7" t="str">
        <f>IFERROR(VLOOKUP($K62,Insumos_MO!$C$8:G5044,2,0),"")</f>
        <v/>
      </c>
      <c r="M62" s="21" t="str">
        <f>IFERROR(VLOOKUP($K62,Insumos_MO!$C$8:G5044,3,0),"")</f>
        <v/>
      </c>
      <c r="N62" s="22"/>
      <c r="O62" s="23">
        <f t="shared" si="21"/>
        <v>0</v>
      </c>
      <c r="P62" s="7"/>
    </row>
    <row r="63" spans="2:17" x14ac:dyDescent="0.25">
      <c r="B63" s="84"/>
      <c r="C63" s="20"/>
      <c r="D63" s="7" t="str">
        <f>IFERROR(VLOOKUP($E63,Insumos_MAT!$C$8:G5078,5,0),"")</f>
        <v/>
      </c>
      <c r="E63" s="18"/>
      <c r="F63" s="7" t="str">
        <f>IFERROR(VLOOKUP($E63,Insumos_MAT!$C$8:G5078,2,0),"")</f>
        <v/>
      </c>
      <c r="G63" s="21">
        <f>IFERROR(VLOOKUP($E63,Insumos_MAT!$C$8:G5078,3,0),0)</f>
        <v>0</v>
      </c>
      <c r="H63" s="22"/>
      <c r="I63" s="21">
        <f t="shared" si="20"/>
        <v>0</v>
      </c>
      <c r="J63" s="7" t="str">
        <f>IFERROR(VLOOKUP($K63,Insumos_MO!$C$8:G5045,5,0),"")</f>
        <v/>
      </c>
      <c r="K63" s="18"/>
      <c r="L63" s="7" t="str">
        <f>IFERROR(VLOOKUP($K63,Insumos_MO!$C$8:G5045,2,0),"")</f>
        <v/>
      </c>
      <c r="M63" s="21" t="str">
        <f>IFERROR(VLOOKUP($K63,Insumos_MO!$C$8:G5045,3,0),"")</f>
        <v/>
      </c>
      <c r="N63" s="22"/>
      <c r="O63" s="23">
        <f t="shared" si="21"/>
        <v>0</v>
      </c>
      <c r="P63" s="7"/>
    </row>
    <row r="64" spans="2:17" x14ac:dyDescent="0.25">
      <c r="B64" s="84"/>
      <c r="C64" s="20"/>
      <c r="D64" s="7" t="str">
        <f>IFERROR(VLOOKUP($E64,Insumos_MAT!$C$8:G5079,5,0),"")</f>
        <v/>
      </c>
      <c r="E64" s="18"/>
      <c r="F64" s="7" t="str">
        <f>IFERROR(VLOOKUP($E64,Insumos_MAT!$C$8:G5079,2,0),"")</f>
        <v/>
      </c>
      <c r="G64" s="21">
        <f>IFERROR(VLOOKUP($E64,Insumos_MAT!$C$8:G5079,3,0),0)</f>
        <v>0</v>
      </c>
      <c r="H64" s="22"/>
      <c r="I64" s="21">
        <f t="shared" si="20"/>
        <v>0</v>
      </c>
      <c r="J64" s="7" t="str">
        <f>IFERROR(VLOOKUP($K64,Insumos_MO!$C$8:G5046,5,0),"")</f>
        <v/>
      </c>
      <c r="K64" s="18"/>
      <c r="L64" s="7" t="str">
        <f>IFERROR(VLOOKUP($K64,Insumos_MO!$C$8:G5046,2,0),"")</f>
        <v/>
      </c>
      <c r="M64" s="21" t="str">
        <f>IFERROR(VLOOKUP($K64,Insumos_MO!$C$8:G5046,3,0),"")</f>
        <v/>
      </c>
      <c r="N64" s="22"/>
      <c r="O64" s="23">
        <f t="shared" si="21"/>
        <v>0</v>
      </c>
      <c r="P64" s="7"/>
    </row>
    <row r="65" spans="2:17" x14ac:dyDescent="0.25">
      <c r="B65" s="84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5"/>
    </row>
    <row r="66" spans="2:17" ht="25.5" x14ac:dyDescent="0.2">
      <c r="B66" s="17">
        <v>7</v>
      </c>
      <c r="C66" s="36" t="s">
        <v>411</v>
      </c>
      <c r="D66" s="17" t="s">
        <v>6</v>
      </c>
      <c r="E66" s="17"/>
      <c r="F66" s="17"/>
      <c r="G66" s="17"/>
      <c r="H66" s="17"/>
      <c r="I66" s="26">
        <f>ROUND(SUM(I67:I72),2)</f>
        <v>38</v>
      </c>
      <c r="J66" s="17"/>
      <c r="K66" s="17"/>
      <c r="L66" s="17"/>
      <c r="M66" s="17"/>
      <c r="N66" s="17"/>
      <c r="O66" s="27">
        <f>ROUND(SUM(O67:O72),2)</f>
        <v>29.88</v>
      </c>
      <c r="P66" s="26">
        <f>ROUND(SUM(I66,O66),2)</f>
        <v>67.88</v>
      </c>
      <c r="Q66" s="25" t="str">
        <f>B67</f>
        <v>CP-07</v>
      </c>
    </row>
    <row r="67" spans="2:17" ht="25.5" x14ac:dyDescent="0.2">
      <c r="B67" s="84" t="s">
        <v>103</v>
      </c>
      <c r="C67" s="58" t="s">
        <v>412</v>
      </c>
      <c r="D67" s="7">
        <f>IFERROR(VLOOKUP($E67,Insumos_MAT!$C$8:G5075,5,0),"")</f>
        <v>37400</v>
      </c>
      <c r="E67" s="18" t="s">
        <v>409</v>
      </c>
      <c r="F67" s="7" t="str">
        <f>IFERROR(VLOOKUP($E67,Insumos_MAT!$C$8:G5075,2,0),"")</f>
        <v>UND</v>
      </c>
      <c r="G67" s="21">
        <f>IFERROR(VLOOKUP($E67,Insumos_MAT!$C$8:G5075,3,0),0)</f>
        <v>38</v>
      </c>
      <c r="H67" s="22">
        <v>1</v>
      </c>
      <c r="I67" s="21">
        <f>IFERROR(G67*H67,0)</f>
        <v>38</v>
      </c>
      <c r="J67" s="7">
        <f>IFERROR(VLOOKUP($K67,Insumos_MO!$C$8:G5042,5,0),"")</f>
        <v>88267</v>
      </c>
      <c r="K67" s="18" t="s">
        <v>148</v>
      </c>
      <c r="L67" s="7" t="str">
        <f>IFERROR(VLOOKUP($K67,Insumos_MO!$C$8:G5042,2,0),"")</f>
        <v>H</v>
      </c>
      <c r="M67" s="21">
        <f>IFERROR(VLOOKUP($K67,Insumos_MO!$C$8:G5042,3,0),"")</f>
        <v>27.39</v>
      </c>
      <c r="N67" s="22">
        <v>0.31619999999999998</v>
      </c>
      <c r="O67" s="23">
        <f>IFERROR(M67*N67,0)</f>
        <v>8.6607179999999993</v>
      </c>
      <c r="P67" s="7"/>
      <c r="Q67" s="1"/>
    </row>
    <row r="68" spans="2:17" x14ac:dyDescent="0.25">
      <c r="B68" s="84"/>
      <c r="C68" s="20"/>
      <c r="D68" s="7" t="str">
        <f>IFERROR(VLOOKUP($E68,Insumos_MAT!$C$8:G5076,5,0),"")</f>
        <v/>
      </c>
      <c r="E68" s="18"/>
      <c r="F68" s="7" t="str">
        <f>IFERROR(VLOOKUP($E68,Insumos_MAT!$C$8:G5076,2,0),"")</f>
        <v/>
      </c>
      <c r="G68" s="21">
        <f>IFERROR(VLOOKUP($E68,Insumos_MAT!$C$8:G5076,3,0),0)</f>
        <v>0</v>
      </c>
      <c r="H68" s="22"/>
      <c r="I68" s="21">
        <f t="shared" ref="I68:I71" si="22">IFERROR(G68*H68,0)</f>
        <v>0</v>
      </c>
      <c r="J68" s="7">
        <f>IFERROR(VLOOKUP($K68,Insumos_MO!$C$8:G5043,5,0),"")</f>
        <v>88316</v>
      </c>
      <c r="K68" s="18" t="s">
        <v>145</v>
      </c>
      <c r="L68" s="7" t="str">
        <f>IFERROR(VLOOKUP($K68,Insumos_MO!$C$8:G5043,2,0),"")</f>
        <v>H</v>
      </c>
      <c r="M68" s="21">
        <f>IFERROR(VLOOKUP($K68,Insumos_MO!$C$8:G5043,3,0),"")</f>
        <v>21.3</v>
      </c>
      <c r="N68" s="22">
        <v>0.996</v>
      </c>
      <c r="O68" s="23">
        <f t="shared" ref="O68:O71" si="23">IFERROR(M68*N68,0)</f>
        <v>21.2148</v>
      </c>
      <c r="P68" s="7"/>
    </row>
    <row r="69" spans="2:17" x14ac:dyDescent="0.25">
      <c r="B69" s="84"/>
      <c r="C69" s="20"/>
      <c r="D69" s="7" t="str">
        <f>IFERROR(VLOOKUP($E69,Insumos_MAT!$C$8:G5077,5,0),"")</f>
        <v/>
      </c>
      <c r="E69" s="18"/>
      <c r="F69" s="7" t="str">
        <f>IFERROR(VLOOKUP($E69,Insumos_MAT!$C$8:G5077,2,0),"")</f>
        <v/>
      </c>
      <c r="G69" s="21">
        <f>IFERROR(VLOOKUP($E69,Insumos_MAT!$C$8:G5077,3,0),0)</f>
        <v>0</v>
      </c>
      <c r="H69" s="22"/>
      <c r="I69" s="21">
        <f t="shared" si="22"/>
        <v>0</v>
      </c>
      <c r="J69" s="7" t="str">
        <f>IFERROR(VLOOKUP($K69,Insumos_MO!$C$8:G5044,5,0),"")</f>
        <v/>
      </c>
      <c r="K69" s="18"/>
      <c r="L69" s="7" t="str">
        <f>IFERROR(VLOOKUP($K69,Insumos_MO!$C$8:G5044,2,0),"")</f>
        <v/>
      </c>
      <c r="M69" s="21" t="str">
        <f>IFERROR(VLOOKUP($K69,Insumos_MO!$C$8:G5044,3,0),"")</f>
        <v/>
      </c>
      <c r="N69" s="22"/>
      <c r="O69" s="23">
        <f t="shared" si="23"/>
        <v>0</v>
      </c>
      <c r="P69" s="7"/>
    </row>
    <row r="70" spans="2:17" x14ac:dyDescent="0.25">
      <c r="B70" s="84"/>
      <c r="C70" s="20"/>
      <c r="D70" s="7" t="str">
        <f>IFERROR(VLOOKUP($E70,Insumos_MAT!$C$8:G5078,5,0),"")</f>
        <v/>
      </c>
      <c r="E70" s="18"/>
      <c r="F70" s="7" t="str">
        <f>IFERROR(VLOOKUP($E70,Insumos_MAT!$C$8:G5078,2,0),"")</f>
        <v/>
      </c>
      <c r="G70" s="21">
        <f>IFERROR(VLOOKUP($E70,Insumos_MAT!$C$8:G5078,3,0),0)</f>
        <v>0</v>
      </c>
      <c r="H70" s="22"/>
      <c r="I70" s="21">
        <f t="shared" si="22"/>
        <v>0</v>
      </c>
      <c r="J70" s="7" t="str">
        <f>IFERROR(VLOOKUP($K70,Insumos_MO!$C$8:G5045,5,0),"")</f>
        <v/>
      </c>
      <c r="K70" s="18"/>
      <c r="L70" s="7" t="str">
        <f>IFERROR(VLOOKUP($K70,Insumos_MO!$C$8:G5045,2,0),"")</f>
        <v/>
      </c>
      <c r="M70" s="21" t="str">
        <f>IFERROR(VLOOKUP($K70,Insumos_MO!$C$8:G5045,3,0),"")</f>
        <v/>
      </c>
      <c r="N70" s="22"/>
      <c r="O70" s="23">
        <f t="shared" si="23"/>
        <v>0</v>
      </c>
      <c r="P70" s="7"/>
    </row>
    <row r="71" spans="2:17" x14ac:dyDescent="0.25">
      <c r="B71" s="84"/>
      <c r="C71" s="20"/>
      <c r="D71" s="7" t="str">
        <f>IFERROR(VLOOKUP($E71,Insumos_MAT!$C$8:G5079,5,0),"")</f>
        <v/>
      </c>
      <c r="E71" s="18"/>
      <c r="F71" s="7" t="str">
        <f>IFERROR(VLOOKUP($E71,Insumos_MAT!$C$8:G5079,2,0),"")</f>
        <v/>
      </c>
      <c r="G71" s="21">
        <f>IFERROR(VLOOKUP($E71,Insumos_MAT!$C$8:G5079,3,0),0)</f>
        <v>0</v>
      </c>
      <c r="H71" s="22"/>
      <c r="I71" s="21">
        <f t="shared" si="22"/>
        <v>0</v>
      </c>
      <c r="J71" s="7" t="str">
        <f>IFERROR(VLOOKUP($K71,Insumos_MO!$C$8:G5046,5,0),"")</f>
        <v/>
      </c>
      <c r="K71" s="18"/>
      <c r="L71" s="7" t="str">
        <f>IFERROR(VLOOKUP($K71,Insumos_MO!$C$8:G5046,2,0),"")</f>
        <v/>
      </c>
      <c r="M71" s="21" t="str">
        <f>IFERROR(VLOOKUP($K71,Insumos_MO!$C$8:G5046,3,0),"")</f>
        <v/>
      </c>
      <c r="N71" s="22"/>
      <c r="O71" s="23">
        <f t="shared" si="23"/>
        <v>0</v>
      </c>
      <c r="P71" s="7"/>
    </row>
    <row r="72" spans="2:17" x14ac:dyDescent="0.25">
      <c r="B72" s="84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5"/>
    </row>
    <row r="73" spans="2:17" ht="25.5" x14ac:dyDescent="0.2">
      <c r="B73" s="17">
        <v>8</v>
      </c>
      <c r="C73" s="36" t="s">
        <v>417</v>
      </c>
      <c r="D73" s="17" t="s">
        <v>45</v>
      </c>
      <c r="E73" s="17"/>
      <c r="F73" s="17"/>
      <c r="G73" s="17"/>
      <c r="H73" s="17"/>
      <c r="I73" s="26">
        <f>ROUND(SUM(I74:I79),2)</f>
        <v>325.72000000000003</v>
      </c>
      <c r="J73" s="17"/>
      <c r="K73" s="17"/>
      <c r="L73" s="17"/>
      <c r="M73" s="17"/>
      <c r="N73" s="17"/>
      <c r="O73" s="27">
        <f>ROUND(SUM(O74:O79),2)</f>
        <v>54.92</v>
      </c>
      <c r="P73" s="26">
        <f>ROUND(SUM(I73,O73),2)</f>
        <v>380.64</v>
      </c>
      <c r="Q73" s="25" t="str">
        <f>B74</f>
        <v>CP-08</v>
      </c>
    </row>
    <row r="74" spans="2:17" x14ac:dyDescent="0.2">
      <c r="B74" s="84" t="s">
        <v>104</v>
      </c>
      <c r="C74" s="58" t="s">
        <v>416</v>
      </c>
      <c r="D74" s="7">
        <f>IFERROR(VLOOKUP($E74,Insumos_MAT!$C$8:G5075,5,0),"")</f>
        <v>11186</v>
      </c>
      <c r="E74" s="18" t="s">
        <v>413</v>
      </c>
      <c r="F74" s="7" t="str">
        <f>IFERROR(VLOOKUP($E74,Insumos_MAT!$C$8:G5075,2,0),"")</f>
        <v>M2</v>
      </c>
      <c r="G74" s="21">
        <f>IFERROR(VLOOKUP($E74,Insumos_MAT!$C$8:G5075,3,0),0)</f>
        <v>294.39999999999998</v>
      </c>
      <c r="H74" s="22">
        <v>1</v>
      </c>
      <c r="I74" s="21">
        <f>IFERROR(G74*H74,0)</f>
        <v>294.39999999999998</v>
      </c>
      <c r="J74" s="7">
        <f>IFERROR(VLOOKUP($K74,Insumos_MO!$C$8:G5042,5,0),"")</f>
        <v>88325</v>
      </c>
      <c r="K74" s="18" t="s">
        <v>415</v>
      </c>
      <c r="L74" s="7" t="str">
        <f>IFERROR(VLOOKUP($K74,Insumos_MO!$C$8:G5042,2,0),"")</f>
        <v>H</v>
      </c>
      <c r="M74" s="21">
        <f>IFERROR(VLOOKUP($K74,Insumos_MO!$C$8:G5042,3,0),"")</f>
        <v>23.2</v>
      </c>
      <c r="N74" s="22">
        <v>2</v>
      </c>
      <c r="O74" s="23">
        <f>IFERROR(M74*N74,0)</f>
        <v>46.4</v>
      </c>
      <c r="P74" s="7"/>
      <c r="Q74" s="1"/>
    </row>
    <row r="75" spans="2:17" ht="38.25" x14ac:dyDescent="0.25">
      <c r="B75" s="84"/>
      <c r="C75" s="20"/>
      <c r="D75" s="7">
        <f>IFERROR(VLOOKUP($E75,Insumos_MAT!$C$8:G5076,5,0),"")</f>
        <v>442</v>
      </c>
      <c r="E75" s="18" t="s">
        <v>414</v>
      </c>
      <c r="F75" s="7" t="str">
        <f>IFERROR(VLOOKUP($E75,Insumos_MAT!$C$8:G5076,2,0),"")</f>
        <v>UND</v>
      </c>
      <c r="G75" s="21">
        <f>IFERROR(VLOOKUP($E75,Insumos_MAT!$C$8:G5076,3,0),0)</f>
        <v>7.83</v>
      </c>
      <c r="H75" s="22">
        <v>4</v>
      </c>
      <c r="I75" s="21">
        <f t="shared" ref="I75:I78" si="24">IFERROR(G75*H75,0)</f>
        <v>31.32</v>
      </c>
      <c r="J75" s="7">
        <f>IFERROR(VLOOKUP($K75,Insumos_MO!$C$8:G5043,5,0),"")</f>
        <v>88316</v>
      </c>
      <c r="K75" s="18" t="s">
        <v>145</v>
      </c>
      <c r="L75" s="7" t="str">
        <f>IFERROR(VLOOKUP($K75,Insumos_MO!$C$8:G5043,2,0),"")</f>
        <v>H</v>
      </c>
      <c r="M75" s="21">
        <f>IFERROR(VLOOKUP($K75,Insumos_MO!$C$8:G5043,3,0),"")</f>
        <v>21.3</v>
      </c>
      <c r="N75" s="22">
        <v>0.4</v>
      </c>
      <c r="O75" s="23">
        <f t="shared" ref="O75:O78" si="25">IFERROR(M75*N75,0)</f>
        <v>8.5200000000000014</v>
      </c>
      <c r="P75" s="7"/>
    </row>
    <row r="76" spans="2:17" x14ac:dyDescent="0.25">
      <c r="B76" s="84"/>
      <c r="C76" s="20"/>
      <c r="D76" s="7" t="str">
        <f>IFERROR(VLOOKUP($E76,Insumos_MAT!$C$8:G5077,5,0),"")</f>
        <v/>
      </c>
      <c r="E76" s="18"/>
      <c r="F76" s="7" t="str">
        <f>IFERROR(VLOOKUP($E76,Insumos_MAT!$C$8:G5077,2,0),"")</f>
        <v/>
      </c>
      <c r="G76" s="21">
        <f>IFERROR(VLOOKUP($E76,Insumos_MAT!$C$8:G5077,3,0),0)</f>
        <v>0</v>
      </c>
      <c r="H76" s="22"/>
      <c r="I76" s="21">
        <f t="shared" si="24"/>
        <v>0</v>
      </c>
      <c r="J76" s="7" t="str">
        <f>IFERROR(VLOOKUP($K76,Insumos_MO!$C$8:G5044,5,0),"")</f>
        <v/>
      </c>
      <c r="K76" s="18"/>
      <c r="L76" s="7" t="str">
        <f>IFERROR(VLOOKUP($K76,Insumos_MO!$C$8:G5044,2,0),"")</f>
        <v/>
      </c>
      <c r="M76" s="21" t="str">
        <f>IFERROR(VLOOKUP($K76,Insumos_MO!$C$8:G5044,3,0),"")</f>
        <v/>
      </c>
      <c r="N76" s="22"/>
      <c r="O76" s="23">
        <f t="shared" si="25"/>
        <v>0</v>
      </c>
      <c r="P76" s="7"/>
    </row>
    <row r="77" spans="2:17" x14ac:dyDescent="0.25">
      <c r="B77" s="84"/>
      <c r="C77" s="20"/>
      <c r="D77" s="7" t="str">
        <f>IFERROR(VLOOKUP($E77,Insumos_MAT!$C$8:G5078,5,0),"")</f>
        <v/>
      </c>
      <c r="E77" s="18"/>
      <c r="F77" s="7" t="str">
        <f>IFERROR(VLOOKUP($E77,Insumos_MAT!$C$8:G5078,2,0),"")</f>
        <v/>
      </c>
      <c r="G77" s="21">
        <f>IFERROR(VLOOKUP($E77,Insumos_MAT!$C$8:G5078,3,0),0)</f>
        <v>0</v>
      </c>
      <c r="H77" s="22"/>
      <c r="I77" s="21">
        <f t="shared" si="24"/>
        <v>0</v>
      </c>
      <c r="J77" s="7" t="str">
        <f>IFERROR(VLOOKUP($K77,Insumos_MO!$C$8:G5045,5,0),"")</f>
        <v/>
      </c>
      <c r="K77" s="18"/>
      <c r="L77" s="7" t="str">
        <f>IFERROR(VLOOKUP($K77,Insumos_MO!$C$8:G5045,2,0),"")</f>
        <v/>
      </c>
      <c r="M77" s="21" t="str">
        <f>IFERROR(VLOOKUP($K77,Insumos_MO!$C$8:G5045,3,0),"")</f>
        <v/>
      </c>
      <c r="N77" s="22"/>
      <c r="O77" s="23">
        <f t="shared" si="25"/>
        <v>0</v>
      </c>
      <c r="P77" s="7"/>
    </row>
    <row r="78" spans="2:17" x14ac:dyDescent="0.25">
      <c r="B78" s="84"/>
      <c r="C78" s="20"/>
      <c r="D78" s="7" t="str">
        <f>IFERROR(VLOOKUP($E78,Insumos_MAT!$C$8:G5079,5,0),"")</f>
        <v/>
      </c>
      <c r="E78" s="18"/>
      <c r="F78" s="7" t="str">
        <f>IFERROR(VLOOKUP($E78,Insumos_MAT!$C$8:G5079,2,0),"")</f>
        <v/>
      </c>
      <c r="G78" s="21">
        <f>IFERROR(VLOOKUP($E78,Insumos_MAT!$C$8:G5079,3,0),0)</f>
        <v>0</v>
      </c>
      <c r="H78" s="22"/>
      <c r="I78" s="21">
        <f t="shared" si="24"/>
        <v>0</v>
      </c>
      <c r="J78" s="7" t="str">
        <f>IFERROR(VLOOKUP($K78,Insumos_MO!$C$8:G5046,5,0),"")</f>
        <v/>
      </c>
      <c r="K78" s="18"/>
      <c r="L78" s="7" t="str">
        <f>IFERROR(VLOOKUP($K78,Insumos_MO!$C$8:G5046,2,0),"")</f>
        <v/>
      </c>
      <c r="M78" s="21" t="str">
        <f>IFERROR(VLOOKUP($K78,Insumos_MO!$C$8:G5046,3,0),"")</f>
        <v/>
      </c>
      <c r="N78" s="22"/>
      <c r="O78" s="23">
        <f t="shared" si="25"/>
        <v>0</v>
      </c>
      <c r="P78" s="7"/>
    </row>
    <row r="79" spans="2:17" x14ac:dyDescent="0.25">
      <c r="B79" s="84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5"/>
    </row>
    <row r="80" spans="2:17" ht="38.25" x14ac:dyDescent="0.2">
      <c r="B80" s="17">
        <v>9</v>
      </c>
      <c r="C80" s="36" t="s">
        <v>452</v>
      </c>
      <c r="D80" s="17" t="s">
        <v>451</v>
      </c>
      <c r="E80" s="17"/>
      <c r="F80" s="17"/>
      <c r="G80" s="17"/>
      <c r="H80" s="17"/>
      <c r="I80" s="26">
        <f>ROUND(SUM(I81:I88),2)</f>
        <v>3596.1</v>
      </c>
      <c r="J80" s="17"/>
      <c r="K80" s="17"/>
      <c r="L80" s="17"/>
      <c r="M80" s="17"/>
      <c r="N80" s="17"/>
      <c r="O80" s="27">
        <f>ROUND(SUM(O81:O88),2)</f>
        <v>83.64</v>
      </c>
      <c r="P80" s="26">
        <f>ROUND(SUM(I80,O80),2)</f>
        <v>3679.74</v>
      </c>
      <c r="Q80" s="25" t="str">
        <f>B81</f>
        <v>CP-09</v>
      </c>
    </row>
    <row r="81" spans="2:17" ht="76.5" x14ac:dyDescent="0.2">
      <c r="B81" s="84" t="s">
        <v>410</v>
      </c>
      <c r="C81" s="58" t="s">
        <v>454</v>
      </c>
      <c r="D81" s="7">
        <f>IFERROR(VLOOKUP($E81,Insumos_MAT!$C$8:G5068,5,0),"")</f>
        <v>5678</v>
      </c>
      <c r="E81" s="18" t="s">
        <v>442</v>
      </c>
      <c r="F81" s="7" t="str">
        <f>IFERROR(VLOOKUP($E81,Insumos_MAT!$C$8:G5068,2,0),"")</f>
        <v>CHP</v>
      </c>
      <c r="G81" s="21">
        <f>IFERROR(VLOOKUP($E81,Insumos_MAT!$C$8:G5068,3,0),0)</f>
        <v>145.74</v>
      </c>
      <c r="H81" s="22">
        <v>0.50749999999999995</v>
      </c>
      <c r="I81" s="21">
        <f>IFERROR(G81*H81,0)</f>
        <v>73.963049999999996</v>
      </c>
      <c r="J81" s="7">
        <f>IFERROR(VLOOKUP($K81,Insumos_MO!$C$8:G5035,5,0),"")</f>
        <v>88309</v>
      </c>
      <c r="K81" s="18" t="s">
        <v>453</v>
      </c>
      <c r="L81" s="7" t="str">
        <f>IFERROR(VLOOKUP($K81,Insumos_MO!$C$8:G5035,2,0),"")</f>
        <v>H</v>
      </c>
      <c r="M81" s="21">
        <f>IFERROR(VLOOKUP($K81,Insumos_MO!$C$8:G5035,3,0),"")</f>
        <v>25.81</v>
      </c>
      <c r="N81" s="22">
        <f>2.4573*(4/5)</f>
        <v>1.96584</v>
      </c>
      <c r="O81" s="23">
        <f>IFERROR(M81*N81,0)</f>
        <v>50.738330399999995</v>
      </c>
      <c r="P81" s="7"/>
      <c r="Q81" s="1"/>
    </row>
    <row r="82" spans="2:17" ht="76.5" x14ac:dyDescent="0.25">
      <c r="B82" s="84"/>
      <c r="C82" s="20"/>
      <c r="D82" s="7">
        <f>IFERROR(VLOOKUP($E82,Insumos_MAT!$C$8:G5069,5,0),"")</f>
        <v>5679</v>
      </c>
      <c r="E82" s="18" t="s">
        <v>444</v>
      </c>
      <c r="F82" s="7" t="str">
        <f>IFERROR(VLOOKUP($E82,Insumos_MAT!$C$8:G5069,2,0),"")</f>
        <v>CHI</v>
      </c>
      <c r="G82" s="21">
        <f>IFERROR(VLOOKUP($E82,Insumos_MAT!$C$8:G5069,3,0),0)</f>
        <v>67.61</v>
      </c>
      <c r="H82" s="22">
        <v>1.0343</v>
      </c>
      <c r="I82" s="21">
        <f t="shared" ref="I82:I87" si="26">IFERROR(G82*H82,0)</f>
        <v>69.929023000000001</v>
      </c>
      <c r="J82" s="7">
        <f>IFERROR(VLOOKUP($K82,Insumos_MO!$C$8:G5036,5,0),"")</f>
        <v>88316</v>
      </c>
      <c r="K82" s="18" t="s">
        <v>145</v>
      </c>
      <c r="L82" s="7" t="str">
        <f>IFERROR(VLOOKUP($K82,Insumos_MO!$C$8:G5036,2,0),"")</f>
        <v>H</v>
      </c>
      <c r="M82" s="21">
        <f>IFERROR(VLOOKUP($K82,Insumos_MO!$C$8:G5036,3,0),"")</f>
        <v>21.3</v>
      </c>
      <c r="N82" s="22">
        <f>1.9307*(4/5)</f>
        <v>1.5445600000000002</v>
      </c>
      <c r="O82" s="23">
        <f t="shared" ref="O82:O87" si="27">IFERROR(M82*N82,0)</f>
        <v>32.899128000000005</v>
      </c>
      <c r="P82" s="7"/>
    </row>
    <row r="83" spans="2:17" ht="38.25" x14ac:dyDescent="0.25">
      <c r="B83" s="84"/>
      <c r="C83" s="20"/>
      <c r="D83" s="7">
        <f>IFERROR(VLOOKUP($E83,Insumos_MAT!$C$8:G5070,5,0),"")</f>
        <v>88628</v>
      </c>
      <c r="E83" s="18" t="s">
        <v>446</v>
      </c>
      <c r="F83" s="7" t="str">
        <f>IFERROR(VLOOKUP($E83,Insumos_MAT!$C$8:G5070,2,0),"")</f>
        <v>M3</v>
      </c>
      <c r="G83" s="21">
        <f>IFERROR(VLOOKUP($E83,Insumos_MAT!$C$8:G5070,3,0),0)</f>
        <v>576.63</v>
      </c>
      <c r="H83" s="22">
        <f>0.0858*(4/5)</f>
        <v>6.8640000000000007E-2</v>
      </c>
      <c r="I83" s="21">
        <f t="shared" si="26"/>
        <v>39.579883200000005</v>
      </c>
      <c r="J83" s="7" t="str">
        <f>IFERROR(VLOOKUP($K83,Insumos_MO!$C$8:G5037,5,0),"")</f>
        <v/>
      </c>
      <c r="K83" s="18"/>
      <c r="L83" s="7" t="str">
        <f>IFERROR(VLOOKUP($K83,Insumos_MO!$C$8:G5037,2,0),"")</f>
        <v/>
      </c>
      <c r="M83" s="21" t="str">
        <f>IFERROR(VLOOKUP($K83,Insumos_MO!$C$8:G5037,3,0),"")</f>
        <v/>
      </c>
      <c r="N83" s="22"/>
      <c r="O83" s="23">
        <f t="shared" si="27"/>
        <v>0</v>
      </c>
      <c r="P83" s="7"/>
    </row>
    <row r="84" spans="2:17" ht="38.25" x14ac:dyDescent="0.25">
      <c r="B84" s="84"/>
      <c r="C84" s="20"/>
      <c r="D84" s="7">
        <f>IFERROR(VLOOKUP($E84,Insumos_MAT!$C$8:G5071,5,0),"")</f>
        <v>97738</v>
      </c>
      <c r="E84" s="18" t="s">
        <v>447</v>
      </c>
      <c r="F84" s="7" t="str">
        <f>IFERROR(VLOOKUP($E84,Insumos_MAT!$C$8:G5071,2,0),"")</f>
        <v>M3</v>
      </c>
      <c r="G84" s="21">
        <f>IFERROR(VLOOKUP($E84,Insumos_MAT!$C$8:G5071,3,0),0)</f>
        <v>6184.12</v>
      </c>
      <c r="H84" s="22">
        <f>0.0154*(4/5)</f>
        <v>1.2320000000000001E-2</v>
      </c>
      <c r="I84" s="21">
        <f t="shared" ref="I84:I85" si="28">IFERROR(G84*H84,0)</f>
        <v>76.188358399999998</v>
      </c>
      <c r="J84" s="7" t="str">
        <f>IFERROR(VLOOKUP($K84,Insumos_MO!$C$8:G5038,5,0),"")</f>
        <v/>
      </c>
      <c r="K84" s="18"/>
      <c r="L84" s="7" t="str">
        <f>IFERROR(VLOOKUP($K84,Insumos_MO!$C$8:G5038,2,0),"")</f>
        <v/>
      </c>
      <c r="M84" s="21" t="str">
        <f>IFERROR(VLOOKUP($K84,Insumos_MO!$C$8:G5038,3,0),"")</f>
        <v/>
      </c>
      <c r="N84" s="22"/>
      <c r="O84" s="23">
        <f t="shared" ref="O84:O85" si="29">IFERROR(M84*N84,0)</f>
        <v>0</v>
      </c>
      <c r="P84" s="7"/>
    </row>
    <row r="85" spans="2:17" ht="38.25" x14ac:dyDescent="0.25">
      <c r="B85" s="84"/>
      <c r="C85" s="20"/>
      <c r="D85" s="7">
        <f>IFERROR(VLOOKUP($E85,Insumos_MAT!$C$8:G5072,5,0),"")</f>
        <v>97740</v>
      </c>
      <c r="E85" s="18" t="s">
        <v>448</v>
      </c>
      <c r="F85" s="7" t="str">
        <f>IFERROR(VLOOKUP($E85,Insumos_MAT!$C$8:G5072,2,0),"")</f>
        <v>M3</v>
      </c>
      <c r="G85" s="21">
        <f>IFERROR(VLOOKUP($E85,Insumos_MAT!$C$8:G5072,3,0),0)</f>
        <v>2331.23</v>
      </c>
      <c r="H85" s="22">
        <f>0.24*(4/5)</f>
        <v>0.192</v>
      </c>
      <c r="I85" s="21">
        <f t="shared" si="28"/>
        <v>447.59616</v>
      </c>
      <c r="J85" s="7" t="str">
        <f>IFERROR(VLOOKUP($K85,Insumos_MO!$C$8:G5039,5,0),"")</f>
        <v/>
      </c>
      <c r="K85" s="18"/>
      <c r="L85" s="7" t="str">
        <f>IFERROR(VLOOKUP($K85,Insumos_MO!$C$8:G5039,2,0),"")</f>
        <v/>
      </c>
      <c r="M85" s="21" t="str">
        <f>IFERROR(VLOOKUP($K85,Insumos_MO!$C$8:G5039,3,0),"")</f>
        <v/>
      </c>
      <c r="N85" s="22"/>
      <c r="O85" s="23">
        <f t="shared" si="29"/>
        <v>0</v>
      </c>
      <c r="P85" s="7"/>
    </row>
    <row r="86" spans="2:17" ht="38.25" x14ac:dyDescent="0.25">
      <c r="B86" s="84"/>
      <c r="C86" s="20"/>
      <c r="D86" s="7">
        <f>IFERROR(VLOOKUP($E86,Insumos_MAT!$C$8:G5073,5,0),"")</f>
        <v>101624</v>
      </c>
      <c r="E86" s="18" t="s">
        <v>449</v>
      </c>
      <c r="F86" s="7" t="str">
        <f>IFERROR(VLOOKUP($E86,Insumos_MAT!$C$8:G5073,2,0),"")</f>
        <v>M3</v>
      </c>
      <c r="G86" s="21">
        <f>IFERROR(VLOOKUP($E86,Insumos_MAT!$C$8:G5073,3,0),0)</f>
        <v>163.30000000000001</v>
      </c>
      <c r="H86" s="22">
        <v>0.37330000000000002</v>
      </c>
      <c r="I86" s="21">
        <f t="shared" si="26"/>
        <v>60.959890000000009</v>
      </c>
      <c r="J86" s="7" t="str">
        <f>IFERROR(VLOOKUP($K86,Insumos_MO!$C$8:G5040,5,0),"")</f>
        <v/>
      </c>
      <c r="K86" s="18"/>
      <c r="L86" s="7" t="str">
        <f>IFERROR(VLOOKUP($K86,Insumos_MO!$C$8:G5040,2,0),"")</f>
        <v/>
      </c>
      <c r="M86" s="21" t="str">
        <f>IFERROR(VLOOKUP($K86,Insumos_MO!$C$8:G5040,3,0),"")</f>
        <v/>
      </c>
      <c r="N86" s="22"/>
      <c r="O86" s="23">
        <f t="shared" si="27"/>
        <v>0</v>
      </c>
      <c r="P86" s="7"/>
    </row>
    <row r="87" spans="2:17" ht="38.25" x14ac:dyDescent="0.25">
      <c r="B87" s="84"/>
      <c r="C87" s="20"/>
      <c r="D87" s="7">
        <f>IFERROR(VLOOKUP($E87,Insumos_MAT!$C$8:G5074,5,0),"")</f>
        <v>12565</v>
      </c>
      <c r="E87" s="18" t="s">
        <v>450</v>
      </c>
      <c r="F87" s="7" t="str">
        <f>IFERROR(VLOOKUP($E87,Insumos_MAT!$C$8:G5074,2,0),"")</f>
        <v>UND</v>
      </c>
      <c r="G87" s="21">
        <f>IFERROR(VLOOKUP($E87,Insumos_MAT!$C$8:G5074,3,0),0)</f>
        <v>706.97</v>
      </c>
      <c r="H87" s="22">
        <v>4</v>
      </c>
      <c r="I87" s="21">
        <f t="shared" si="26"/>
        <v>2827.88</v>
      </c>
      <c r="J87" s="7" t="str">
        <f>IFERROR(VLOOKUP($K87,Insumos_MO!$C$8:G5041,5,0),"")</f>
        <v/>
      </c>
      <c r="K87" s="18"/>
      <c r="L87" s="7" t="str">
        <f>IFERROR(VLOOKUP($K87,Insumos_MO!$C$8:G5041,2,0),"")</f>
        <v/>
      </c>
      <c r="M87" s="21" t="str">
        <f>IFERROR(VLOOKUP($K87,Insumos_MO!$C$8:G5041,3,0),"")</f>
        <v/>
      </c>
      <c r="N87" s="22"/>
      <c r="O87" s="23">
        <f t="shared" si="27"/>
        <v>0</v>
      </c>
      <c r="P87" s="7"/>
    </row>
    <row r="88" spans="2:17" x14ac:dyDescent="0.25">
      <c r="B88" s="84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5"/>
    </row>
    <row r="89" spans="2:17" ht="25.5" x14ac:dyDescent="0.2">
      <c r="B89" s="17">
        <v>10</v>
      </c>
      <c r="C89" s="36" t="s">
        <v>597</v>
      </c>
      <c r="D89" s="17" t="s">
        <v>6</v>
      </c>
      <c r="E89" s="17"/>
      <c r="F89" s="17"/>
      <c r="G89" s="17"/>
      <c r="H89" s="17"/>
      <c r="I89" s="26">
        <f>ROUND(SUM(I90:I96),2)</f>
        <v>7412.9</v>
      </c>
      <c r="J89" s="17"/>
      <c r="K89" s="17"/>
      <c r="L89" s="17"/>
      <c r="M89" s="17"/>
      <c r="N89" s="17"/>
      <c r="O89" s="27">
        <f>ROUND(SUM(O90:O96),2)</f>
        <v>694.18</v>
      </c>
      <c r="P89" s="26">
        <f>ROUND(SUM(I89,O89),2)</f>
        <v>8107.08</v>
      </c>
      <c r="Q89" s="25" t="str">
        <f>B90</f>
        <v>CP-10</v>
      </c>
    </row>
    <row r="90" spans="2:17" x14ac:dyDescent="0.2">
      <c r="B90" s="84" t="s">
        <v>441</v>
      </c>
      <c r="C90" s="20"/>
      <c r="D90" s="7" t="str">
        <f>IFERROR(VLOOKUP($E90,Insumos_MAT!$C$8:G5075,5,0),"")</f>
        <v>M3231</v>
      </c>
      <c r="E90" s="18" t="s">
        <v>595</v>
      </c>
      <c r="F90" s="7" t="str">
        <f>IFERROR(VLOOKUP($E90,Insumos_MAT!$C$8:G5075,2,0),"")</f>
        <v>M2</v>
      </c>
      <c r="G90" s="21">
        <f>IFERROR(VLOOKUP($E90,Insumos_MAT!$C$8:G5075,3,0),0)</f>
        <v>146.5737</v>
      </c>
      <c r="H90" s="22">
        <f>(3*1.2)*4+(3*0.6)*4+((5-(2*0.6))*0.6)*2+((5-(2*0.6))*1.2)*2</f>
        <v>35.279999999999994</v>
      </c>
      <c r="I90" s="21">
        <f>IFERROR(G90*H90,0)</f>
        <v>5171.1201359999995</v>
      </c>
      <c r="J90" s="7">
        <f>IFERROR(VLOOKUP($K90,Insumos_MO!$C$8:G5042,5,0),"")</f>
        <v>88315</v>
      </c>
      <c r="K90" s="18" t="s">
        <v>604</v>
      </c>
      <c r="L90" s="7" t="str">
        <f>IFERROR(VLOOKUP($K90,Insumos_MO!$C$8:G5042,2,0),"")</f>
        <v>H</v>
      </c>
      <c r="M90" s="21">
        <f>IFERROR(VLOOKUP($K90,Insumos_MO!$C$8:G5042,3,0),"")</f>
        <v>25.61</v>
      </c>
      <c r="N90" s="22">
        <v>8</v>
      </c>
      <c r="O90" s="23">
        <f>IFERROR(M90*N90,0)</f>
        <v>204.88</v>
      </c>
      <c r="P90" s="7"/>
      <c r="Q90" s="1"/>
    </row>
    <row r="91" spans="2:17" ht="25.5" x14ac:dyDescent="0.25">
      <c r="B91" s="84"/>
      <c r="C91" s="20"/>
      <c r="D91" s="7" t="str">
        <f>IFERROR(VLOOKUP($E91,Insumos_MAT!$C$8:G5076,5,0),"")</f>
        <v>M0164</v>
      </c>
      <c r="E91" s="18" t="s">
        <v>593</v>
      </c>
      <c r="F91" s="7" t="str">
        <f>IFERROR(VLOOKUP($E91,Insumos_MAT!$C$8:G5076,2,0),"")</f>
        <v>M</v>
      </c>
      <c r="G91" s="21">
        <f>IFERROR(VLOOKUP($E91,Insumos_MAT!$C$8:G5076,3,0),0)</f>
        <v>15.340400000000001</v>
      </c>
      <c r="H91" s="22">
        <f>(5)*4+((3)*4)*2+(0.6+1.2+0.6+1.2)*2</f>
        <v>51.2</v>
      </c>
      <c r="I91" s="21">
        <f t="shared" ref="I91:I95" si="30">IFERROR(G91*H91,0)</f>
        <v>785.42848000000004</v>
      </c>
      <c r="J91" s="7">
        <f>IFERROR(VLOOKUP($K91,Insumos_MO!$C$8:G5043,5,0),"")</f>
        <v>88278</v>
      </c>
      <c r="K91" s="18" t="s">
        <v>606</v>
      </c>
      <c r="L91" s="7" t="str">
        <f>IFERROR(VLOOKUP($K91,Insumos_MO!$C$8:G5043,2,0),"")</f>
        <v>H</v>
      </c>
      <c r="M91" s="21">
        <f>IFERROR(VLOOKUP($K91,Insumos_MO!$C$8:G5043,3,0),"")</f>
        <v>26.53</v>
      </c>
      <c r="N91" s="22">
        <v>10</v>
      </c>
      <c r="O91" s="23">
        <f t="shared" ref="O91:O95" si="31">IFERROR(M91*N91,0)</f>
        <v>265.3</v>
      </c>
      <c r="P91" s="7"/>
    </row>
    <row r="92" spans="2:17" ht="25.5" x14ac:dyDescent="0.25">
      <c r="B92" s="84"/>
      <c r="C92" s="20"/>
      <c r="D92" s="7">
        <f>IFERROR(VLOOKUP($E92,Insumos_MAT!$C$8:G5077,5,0),"")</f>
        <v>98746</v>
      </c>
      <c r="E92" s="18" t="s">
        <v>602</v>
      </c>
      <c r="F92" s="7" t="str">
        <f>IFERROR(VLOOKUP($E92,Insumos_MAT!$C$8:G5077,2,0),"")</f>
        <v>M</v>
      </c>
      <c r="G92" s="21">
        <f>IFERROR(VLOOKUP($E92,Insumos_MAT!$C$8:G5077,3,0),0)</f>
        <v>110.22</v>
      </c>
      <c r="H92" s="22">
        <f>0.8*(12)</f>
        <v>9.6000000000000014</v>
      </c>
      <c r="I92" s="21">
        <f t="shared" si="30"/>
        <v>1058.1120000000001</v>
      </c>
      <c r="J92" s="7">
        <f>IFERROR(VLOOKUP($K92,Insumos_MO!$C$8:G5044,5,0),"")</f>
        <v>88240</v>
      </c>
      <c r="K92" s="18" t="s">
        <v>607</v>
      </c>
      <c r="L92" s="7" t="str">
        <f>IFERROR(VLOOKUP($K92,Insumos_MO!$C$8:G5044,2,0),"")</f>
        <v>H</v>
      </c>
      <c r="M92" s="21">
        <f>IFERROR(VLOOKUP($K92,Insumos_MO!$C$8:G5044,3,0),"")</f>
        <v>22.4</v>
      </c>
      <c r="N92" s="22">
        <v>10</v>
      </c>
      <c r="O92" s="23">
        <f t="shared" si="31"/>
        <v>224</v>
      </c>
      <c r="P92" s="7"/>
    </row>
    <row r="93" spans="2:17" ht="25.5" x14ac:dyDescent="0.25">
      <c r="B93" s="84"/>
      <c r="C93" s="20"/>
      <c r="D93" s="7">
        <f>IFERROR(VLOOKUP($E93,Insumos_MAT!$C$8:G5077,5,0),"")</f>
        <v>40552</v>
      </c>
      <c r="E93" s="18" t="s">
        <v>600</v>
      </c>
      <c r="F93" s="7" t="str">
        <f>IFERROR(VLOOKUP($E93,Insumos_MAT!$C$8:G5077,2,0),"")</f>
        <v>CENTO</v>
      </c>
      <c r="G93" s="21">
        <f>IFERROR(VLOOKUP($E93,Insumos_MAT!$C$8:G5077,3,0),0)</f>
        <v>53.89</v>
      </c>
      <c r="H93" s="22">
        <f>48/100</f>
        <v>0.48</v>
      </c>
      <c r="I93" s="21">
        <f t="shared" ref="I93" si="32">IFERROR(G93*H93,0)</f>
        <v>25.8672</v>
      </c>
      <c r="J93" s="7" t="str">
        <f>IFERROR(VLOOKUP($K93,Insumos_MO!$C$8:G5044,5,0),"")</f>
        <v/>
      </c>
      <c r="K93" s="18"/>
      <c r="L93" s="7" t="str">
        <f>IFERROR(VLOOKUP($K93,Insumos_MO!$C$8:G5044,2,0),"")</f>
        <v/>
      </c>
      <c r="M93" s="21" t="str">
        <f>IFERROR(VLOOKUP($K93,Insumos_MO!$C$8:G5044,3,0),"")</f>
        <v/>
      </c>
      <c r="N93" s="22"/>
      <c r="O93" s="23">
        <f t="shared" ref="O93" si="33">IFERROR(M93*N93,0)</f>
        <v>0</v>
      </c>
      <c r="P93" s="7"/>
    </row>
    <row r="94" spans="2:17" x14ac:dyDescent="0.25">
      <c r="B94" s="84"/>
      <c r="C94" s="20"/>
      <c r="D94" s="7">
        <f>IFERROR(VLOOKUP($E94,Insumos_MAT!$C$8:G5078,5,0),"")</f>
        <v>8214</v>
      </c>
      <c r="E94" s="18" t="s">
        <v>598</v>
      </c>
      <c r="F94" s="7" t="str">
        <f>IFERROR(VLOOKUP($E94,Insumos_MAT!$C$8:G5078,2,0),"")</f>
        <v>UND</v>
      </c>
      <c r="G94" s="21">
        <f>IFERROR(VLOOKUP($E94,Insumos_MAT!$C$8:G5078,3,0),0)</f>
        <v>0.1</v>
      </c>
      <c r="H94" s="22">
        <f>ROUNDUP((1.5054/2)/0.1,0)</f>
        <v>8</v>
      </c>
      <c r="I94" s="21">
        <f t="shared" si="30"/>
        <v>0.8</v>
      </c>
      <c r="J94" s="7" t="str">
        <f>IFERROR(VLOOKUP($K94,Insumos_MO!$C$8:G5045,5,0),"")</f>
        <v/>
      </c>
      <c r="K94" s="18"/>
      <c r="L94" s="7" t="str">
        <f>IFERROR(VLOOKUP($K94,Insumos_MO!$C$8:G5045,2,0),"")</f>
        <v/>
      </c>
      <c r="M94" s="21" t="str">
        <f>IFERROR(VLOOKUP($K94,Insumos_MO!$C$8:G5045,3,0),"")</f>
        <v/>
      </c>
      <c r="N94" s="22"/>
      <c r="O94" s="23">
        <f t="shared" si="31"/>
        <v>0</v>
      </c>
      <c r="P94" s="7"/>
    </row>
    <row r="95" spans="2:17" ht="25.5" x14ac:dyDescent="0.25">
      <c r="B95" s="84"/>
      <c r="C95" s="20"/>
      <c r="D95" s="7">
        <f>IFERROR(VLOOKUP($E95,Insumos_MAT!$C$8:G5079,5,0),"")</f>
        <v>38123</v>
      </c>
      <c r="E95" s="18" t="s">
        <v>603</v>
      </c>
      <c r="F95" s="7" t="str">
        <f>IFERROR(VLOOKUP($E95,Insumos_MAT!$C$8:G5079,2,0),"")</f>
        <v>KG</v>
      </c>
      <c r="G95" s="21">
        <f>IFERROR(VLOOKUP($E95,Insumos_MAT!$C$8:G5079,3,0),0)</f>
        <v>52.66</v>
      </c>
      <c r="H95" s="22">
        <f>(0.5*35.28)*0.4</f>
        <v>7.0560000000000009</v>
      </c>
      <c r="I95" s="21">
        <f t="shared" si="30"/>
        <v>371.56896</v>
      </c>
      <c r="J95" s="7" t="str">
        <f>IFERROR(VLOOKUP($K95,Insumos_MO!$C$8:G5046,5,0),"")</f>
        <v/>
      </c>
      <c r="K95" s="18"/>
      <c r="L95" s="7" t="str">
        <f>IFERROR(VLOOKUP($K95,Insumos_MO!$C$8:G5046,2,0),"")</f>
        <v/>
      </c>
      <c r="M95" s="21" t="str">
        <f>IFERROR(VLOOKUP($K95,Insumos_MO!$C$8:G5046,3,0),"")</f>
        <v/>
      </c>
      <c r="N95" s="22"/>
      <c r="O95" s="23">
        <f t="shared" si="31"/>
        <v>0</v>
      </c>
      <c r="P95" s="7"/>
    </row>
    <row r="96" spans="2:17" x14ac:dyDescent="0.25">
      <c r="B96" s="84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5"/>
    </row>
    <row r="98" spans="2:16" ht="15.75" x14ac:dyDescent="0.25">
      <c r="B98" s="33" t="s">
        <v>64</v>
      </c>
    </row>
    <row r="99" spans="2:16" ht="15.75" x14ac:dyDescent="0.25">
      <c r="B99" s="34" t="s">
        <v>625</v>
      </c>
      <c r="N99" s="35" t="s">
        <v>66</v>
      </c>
      <c r="O99" s="76">
        <f ca="1">TODAY()</f>
        <v>45236</v>
      </c>
      <c r="P99" s="76"/>
    </row>
    <row r="100" spans="2:16" ht="15.75" x14ac:dyDescent="0.25">
      <c r="B100" s="34" t="s">
        <v>79</v>
      </c>
    </row>
    <row r="101" spans="2:16" ht="15.75" x14ac:dyDescent="0.25">
      <c r="B101" s="34" t="s">
        <v>94</v>
      </c>
      <c r="C101" s="50">
        <v>0.23810000000000001</v>
      </c>
    </row>
    <row r="102" spans="2:16" ht="15.75" x14ac:dyDescent="0.25">
      <c r="B102" s="34" t="s">
        <v>65</v>
      </c>
    </row>
  </sheetData>
  <mergeCells count="20">
    <mergeCell ref="O99:P99"/>
    <mergeCell ref="B5:P5"/>
    <mergeCell ref="B17:B32"/>
    <mergeCell ref="B34:B42"/>
    <mergeCell ref="B44:B49"/>
    <mergeCell ref="B51:B58"/>
    <mergeCell ref="B60:B65"/>
    <mergeCell ref="B67:B72"/>
    <mergeCell ref="B74:B79"/>
    <mergeCell ref="B90:B96"/>
    <mergeCell ref="B81:B88"/>
    <mergeCell ref="B4:P4"/>
    <mergeCell ref="B3:P3"/>
    <mergeCell ref="B2:P2"/>
    <mergeCell ref="B10:B15"/>
    <mergeCell ref="B6:P6"/>
    <mergeCell ref="B7:D7"/>
    <mergeCell ref="E7:I7"/>
    <mergeCell ref="J7:O7"/>
    <mergeCell ref="P7:P8"/>
  </mergeCells>
  <pageMargins left="0.51181102362204722" right="0.51181102362204722" top="0.78740157480314965" bottom="0.78740157480314965" header="0.31496062992125984" footer="0.31496062992125984"/>
  <pageSetup paperSize="9" scale="44" fitToHeight="0" orientation="landscape" r:id="rId1"/>
  <rowBreaks count="2" manualBreakCount="2">
    <brk id="32" max="15" man="1"/>
    <brk id="72" max="15" man="1"/>
  </rowBreaks>
  <colBreaks count="1" manualBreakCount="1">
    <brk id="9" max="68" man="1"/>
  </colBreaks>
  <ignoredErrors>
    <ignoredError sqref="D54:D55 F54:G54 J54:J55 L54:M54 F55:G55 L55:M5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6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125.7109375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65" t="s">
        <v>109</v>
      </c>
      <c r="C2" s="66"/>
      <c r="D2" s="66"/>
      <c r="E2" s="66"/>
      <c r="F2" s="66"/>
      <c r="G2" s="67"/>
    </row>
    <row r="3" spans="2:7" ht="21" customHeight="1" x14ac:dyDescent="0.25">
      <c r="B3" s="68" t="s">
        <v>105</v>
      </c>
      <c r="C3" s="69"/>
      <c r="D3" s="69"/>
      <c r="E3" s="69"/>
      <c r="F3" s="69"/>
      <c r="G3" s="70"/>
    </row>
    <row r="4" spans="2:7" ht="21" customHeight="1" x14ac:dyDescent="0.25">
      <c r="B4" s="68" t="s">
        <v>13</v>
      </c>
      <c r="C4" s="69"/>
      <c r="D4" s="69"/>
      <c r="E4" s="69"/>
      <c r="F4" s="69"/>
      <c r="G4" s="70"/>
    </row>
    <row r="5" spans="2:7" ht="21" customHeight="1" x14ac:dyDescent="0.25">
      <c r="B5" s="71" t="s">
        <v>0</v>
      </c>
      <c r="C5" s="72"/>
      <c r="D5" s="72"/>
      <c r="E5" s="72"/>
      <c r="F5" s="72"/>
      <c r="G5" s="73"/>
    </row>
    <row r="6" spans="2:7" ht="15.75" x14ac:dyDescent="0.25">
      <c r="B6" s="74" t="s">
        <v>14</v>
      </c>
      <c r="C6" s="74"/>
      <c r="D6" s="74"/>
      <c r="E6" s="74"/>
      <c r="F6" s="74"/>
      <c r="G6" s="74"/>
    </row>
    <row r="7" spans="2:7" x14ac:dyDescent="0.25">
      <c r="B7" s="16" t="s">
        <v>15</v>
      </c>
      <c r="C7" s="16" t="s">
        <v>16</v>
      </c>
      <c r="D7" s="16" t="s">
        <v>6</v>
      </c>
      <c r="E7" s="16" t="s">
        <v>18</v>
      </c>
      <c r="F7" s="16" t="s">
        <v>17</v>
      </c>
      <c r="G7" s="16" t="s">
        <v>1</v>
      </c>
    </row>
    <row r="8" spans="2:7" x14ac:dyDescent="0.25">
      <c r="B8" s="17">
        <v>1</v>
      </c>
      <c r="C8" s="51" t="s">
        <v>131</v>
      </c>
      <c r="D8" s="17" t="s">
        <v>6</v>
      </c>
      <c r="E8" s="19">
        <v>2.02</v>
      </c>
      <c r="F8" s="17" t="s">
        <v>123</v>
      </c>
      <c r="G8" s="7">
        <v>392</v>
      </c>
    </row>
    <row r="9" spans="2:7" x14ac:dyDescent="0.25">
      <c r="B9" s="17">
        <v>2</v>
      </c>
      <c r="C9" s="51" t="s">
        <v>154</v>
      </c>
      <c r="D9" s="17" t="s">
        <v>6</v>
      </c>
      <c r="E9" s="19">
        <v>75.400000000000006</v>
      </c>
      <c r="F9" s="17" t="s">
        <v>123</v>
      </c>
      <c r="G9" s="7">
        <v>122</v>
      </c>
    </row>
    <row r="10" spans="2:7" x14ac:dyDescent="0.25">
      <c r="B10" s="17">
        <v>3</v>
      </c>
      <c r="C10" s="51" t="s">
        <v>450</v>
      </c>
      <c r="D10" s="17" t="s">
        <v>6</v>
      </c>
      <c r="E10" s="19">
        <v>706.97</v>
      </c>
      <c r="F10" s="17" t="s">
        <v>123</v>
      </c>
      <c r="G10" s="7">
        <v>12565</v>
      </c>
    </row>
    <row r="11" spans="2:7" x14ac:dyDescent="0.25">
      <c r="B11" s="17">
        <v>4</v>
      </c>
      <c r="C11" s="51" t="s">
        <v>446</v>
      </c>
      <c r="D11" s="17" t="s">
        <v>164</v>
      </c>
      <c r="E11" s="19">
        <v>576.63</v>
      </c>
      <c r="F11" s="17" t="s">
        <v>125</v>
      </c>
      <c r="G11" s="7">
        <v>88628</v>
      </c>
    </row>
    <row r="12" spans="2:7" x14ac:dyDescent="0.25">
      <c r="B12" s="17">
        <v>5</v>
      </c>
      <c r="C12" s="51" t="s">
        <v>206</v>
      </c>
      <c r="D12" s="17" t="s">
        <v>182</v>
      </c>
      <c r="E12" s="19">
        <v>13.54</v>
      </c>
      <c r="F12" s="17" t="s">
        <v>125</v>
      </c>
      <c r="G12" s="7">
        <v>95946</v>
      </c>
    </row>
    <row r="13" spans="2:7" x14ac:dyDescent="0.25">
      <c r="B13" s="17">
        <v>6</v>
      </c>
      <c r="C13" s="51" t="s">
        <v>205</v>
      </c>
      <c r="D13" s="17" t="s">
        <v>182</v>
      </c>
      <c r="E13" s="19">
        <v>22.06</v>
      </c>
      <c r="F13" s="17" t="s">
        <v>125</v>
      </c>
      <c r="G13" s="7">
        <v>95943</v>
      </c>
    </row>
    <row r="14" spans="2:7" x14ac:dyDescent="0.25">
      <c r="B14" s="17">
        <v>7</v>
      </c>
      <c r="C14" s="51" t="s">
        <v>134</v>
      </c>
      <c r="D14" s="17" t="s">
        <v>6</v>
      </c>
      <c r="E14" s="19">
        <v>129.38999999999999</v>
      </c>
      <c r="F14" s="17" t="s">
        <v>123</v>
      </c>
      <c r="G14" s="7">
        <v>1096</v>
      </c>
    </row>
    <row r="15" spans="2:7" x14ac:dyDescent="0.25">
      <c r="B15" s="17">
        <v>8</v>
      </c>
      <c r="C15" s="51" t="s">
        <v>143</v>
      </c>
      <c r="D15" s="17" t="s">
        <v>6</v>
      </c>
      <c r="E15" s="19">
        <v>1.56</v>
      </c>
      <c r="F15" s="17" t="s">
        <v>123</v>
      </c>
      <c r="G15" s="7">
        <v>11267</v>
      </c>
    </row>
    <row r="16" spans="2:7" x14ac:dyDescent="0.25">
      <c r="B16" s="17">
        <v>9</v>
      </c>
      <c r="C16" s="51" t="s">
        <v>386</v>
      </c>
      <c r="D16" s="17" t="s">
        <v>6</v>
      </c>
      <c r="E16" s="19">
        <v>300.81</v>
      </c>
      <c r="F16" s="17" t="s">
        <v>123</v>
      </c>
      <c r="G16" s="7">
        <v>37412</v>
      </c>
    </row>
    <row r="17" spans="2:7" x14ac:dyDescent="0.25">
      <c r="B17" s="17">
        <v>10</v>
      </c>
      <c r="C17" s="51" t="s">
        <v>132</v>
      </c>
      <c r="D17" s="17" t="s">
        <v>139</v>
      </c>
      <c r="E17" s="19">
        <v>14.6</v>
      </c>
      <c r="F17" s="17" t="s">
        <v>123</v>
      </c>
      <c r="G17" s="7">
        <v>979</v>
      </c>
    </row>
    <row r="18" spans="2:7" x14ac:dyDescent="0.25">
      <c r="B18" s="17">
        <v>11</v>
      </c>
      <c r="C18" s="51" t="s">
        <v>133</v>
      </c>
      <c r="D18" s="17" t="s">
        <v>6</v>
      </c>
      <c r="E18" s="19">
        <v>288.48</v>
      </c>
      <c r="F18" s="17" t="s">
        <v>123</v>
      </c>
      <c r="G18" s="7">
        <v>1062</v>
      </c>
    </row>
    <row r="19" spans="2:7" x14ac:dyDescent="0.25">
      <c r="B19" s="17">
        <v>12</v>
      </c>
      <c r="C19" s="51" t="s">
        <v>595</v>
      </c>
      <c r="D19" s="17" t="s">
        <v>45</v>
      </c>
      <c r="E19" s="19">
        <v>146.5737</v>
      </c>
      <c r="F19" s="17" t="s">
        <v>592</v>
      </c>
      <c r="G19" s="7" t="s">
        <v>596</v>
      </c>
    </row>
    <row r="20" spans="2:7" x14ac:dyDescent="0.25">
      <c r="B20" s="17">
        <v>13</v>
      </c>
      <c r="C20" s="51" t="s">
        <v>130</v>
      </c>
      <c r="D20" s="17" t="s">
        <v>6</v>
      </c>
      <c r="E20" s="19">
        <v>38.99</v>
      </c>
      <c r="F20" s="17" t="s">
        <v>123</v>
      </c>
      <c r="G20" s="7">
        <v>420</v>
      </c>
    </row>
    <row r="21" spans="2:7" x14ac:dyDescent="0.25">
      <c r="B21" s="17">
        <v>14</v>
      </c>
      <c r="C21" s="51" t="s">
        <v>150</v>
      </c>
      <c r="D21" s="17" t="s">
        <v>6</v>
      </c>
      <c r="E21" s="19">
        <v>9.5</v>
      </c>
      <c r="F21" s="17" t="s">
        <v>123</v>
      </c>
      <c r="G21" s="7">
        <v>1419</v>
      </c>
    </row>
    <row r="22" spans="2:7" x14ac:dyDescent="0.25">
      <c r="B22" s="17">
        <v>15</v>
      </c>
      <c r="C22" s="51" t="s">
        <v>208</v>
      </c>
      <c r="D22" s="17" t="s">
        <v>164</v>
      </c>
      <c r="E22" s="19">
        <v>637.47</v>
      </c>
      <c r="F22" s="17" t="s">
        <v>125</v>
      </c>
      <c r="G22" s="7">
        <v>103675</v>
      </c>
    </row>
    <row r="23" spans="2:7" x14ac:dyDescent="0.25">
      <c r="B23" s="17">
        <v>16</v>
      </c>
      <c r="C23" s="51" t="s">
        <v>135</v>
      </c>
      <c r="D23" s="17" t="s">
        <v>6</v>
      </c>
      <c r="E23" s="19">
        <v>9.11</v>
      </c>
      <c r="F23" s="17" t="s">
        <v>123</v>
      </c>
      <c r="G23" s="7">
        <v>1539</v>
      </c>
    </row>
    <row r="24" spans="2:7" x14ac:dyDescent="0.25">
      <c r="B24" s="17">
        <v>17</v>
      </c>
      <c r="C24" s="51" t="s">
        <v>144</v>
      </c>
      <c r="D24" s="17" t="s">
        <v>6</v>
      </c>
      <c r="E24" s="19">
        <v>5.53</v>
      </c>
      <c r="F24" s="17" t="s">
        <v>123</v>
      </c>
      <c r="G24" s="7">
        <v>12034</v>
      </c>
    </row>
    <row r="25" spans="2:7" x14ac:dyDescent="0.25">
      <c r="B25" s="17">
        <v>18</v>
      </c>
      <c r="C25" s="51" t="s">
        <v>137</v>
      </c>
      <c r="D25" s="17" t="s">
        <v>6</v>
      </c>
      <c r="E25" s="19">
        <v>69.61</v>
      </c>
      <c r="F25" s="17" t="s">
        <v>123</v>
      </c>
      <c r="G25" s="7">
        <v>2392</v>
      </c>
    </row>
    <row r="26" spans="2:7" x14ac:dyDescent="0.25">
      <c r="B26" s="17">
        <v>19</v>
      </c>
      <c r="C26" s="51" t="s">
        <v>138</v>
      </c>
      <c r="D26" s="17" t="s">
        <v>139</v>
      </c>
      <c r="E26" s="19">
        <v>10.35</v>
      </c>
      <c r="F26" s="17" t="s">
        <v>123</v>
      </c>
      <c r="G26" s="7">
        <v>2685</v>
      </c>
    </row>
    <row r="27" spans="2:7" x14ac:dyDescent="0.25">
      <c r="B27" s="17">
        <v>20</v>
      </c>
      <c r="C27" s="51" t="s">
        <v>413</v>
      </c>
      <c r="D27" s="17" t="s">
        <v>45</v>
      </c>
      <c r="E27" s="19">
        <v>294.39999999999998</v>
      </c>
      <c r="F27" s="17" t="s">
        <v>123</v>
      </c>
      <c r="G27" s="7">
        <v>11186</v>
      </c>
    </row>
    <row r="28" spans="2:7" x14ac:dyDescent="0.25">
      <c r="B28" s="17">
        <v>21</v>
      </c>
      <c r="C28" s="51" t="s">
        <v>129</v>
      </c>
      <c r="D28" s="17" t="s">
        <v>6</v>
      </c>
      <c r="E28" s="19">
        <v>106.07</v>
      </c>
      <c r="F28" s="17" t="s">
        <v>123</v>
      </c>
      <c r="G28" s="7">
        <v>406</v>
      </c>
    </row>
    <row r="29" spans="2:7" x14ac:dyDescent="0.25">
      <c r="B29" s="17">
        <v>22</v>
      </c>
      <c r="C29" s="51" t="s">
        <v>151</v>
      </c>
      <c r="D29" s="17" t="s">
        <v>6</v>
      </c>
      <c r="E29" s="19">
        <v>16.59</v>
      </c>
      <c r="F29" s="17" t="s">
        <v>123</v>
      </c>
      <c r="G29" s="7">
        <v>3148</v>
      </c>
    </row>
    <row r="30" spans="2:7" ht="25.5" x14ac:dyDescent="0.25">
      <c r="B30" s="17">
        <v>23</v>
      </c>
      <c r="C30" s="51" t="s">
        <v>361</v>
      </c>
      <c r="D30" s="17" t="s">
        <v>139</v>
      </c>
      <c r="E30" s="19">
        <v>33.51</v>
      </c>
      <c r="F30" s="17" t="s">
        <v>123</v>
      </c>
      <c r="G30" s="7">
        <v>36888</v>
      </c>
    </row>
    <row r="31" spans="2:7" ht="25.5" x14ac:dyDescent="0.25">
      <c r="B31" s="17">
        <v>24</v>
      </c>
      <c r="C31" s="51" t="s">
        <v>124</v>
      </c>
      <c r="D31" s="17" t="s">
        <v>55</v>
      </c>
      <c r="E31" s="19">
        <v>252.15</v>
      </c>
      <c r="F31" s="17" t="s">
        <v>125</v>
      </c>
      <c r="G31" s="7">
        <v>93402</v>
      </c>
    </row>
    <row r="32" spans="2:7" x14ac:dyDescent="0.25">
      <c r="B32" s="17">
        <v>25</v>
      </c>
      <c r="C32" s="51" t="s">
        <v>141</v>
      </c>
      <c r="D32" s="17" t="s">
        <v>6</v>
      </c>
      <c r="E32" s="19">
        <v>103.79</v>
      </c>
      <c r="F32" s="17" t="s">
        <v>123</v>
      </c>
      <c r="G32" s="7">
        <v>3379</v>
      </c>
    </row>
    <row r="33" spans="2:7" x14ac:dyDescent="0.25">
      <c r="B33" s="17">
        <v>26</v>
      </c>
      <c r="C33" s="51" t="s">
        <v>157</v>
      </c>
      <c r="D33" s="17" t="s">
        <v>6</v>
      </c>
      <c r="E33" s="19">
        <v>232.02</v>
      </c>
      <c r="F33" s="17" t="s">
        <v>125</v>
      </c>
      <c r="G33" s="7">
        <v>95675</v>
      </c>
    </row>
    <row r="34" spans="2:7" x14ac:dyDescent="0.25">
      <c r="B34" s="17">
        <v>27</v>
      </c>
      <c r="C34" s="51" t="s">
        <v>155</v>
      </c>
      <c r="D34" s="17" t="s">
        <v>6</v>
      </c>
      <c r="E34" s="19">
        <v>244.13</v>
      </c>
      <c r="F34" s="17" t="s">
        <v>125</v>
      </c>
      <c r="G34" s="7">
        <v>95634</v>
      </c>
    </row>
    <row r="35" spans="2:7" ht="25.5" x14ac:dyDescent="0.25">
      <c r="B35" s="17">
        <v>28</v>
      </c>
      <c r="C35" s="51" t="s">
        <v>122</v>
      </c>
      <c r="D35" s="17" t="s">
        <v>114</v>
      </c>
      <c r="E35" s="19">
        <v>780</v>
      </c>
      <c r="F35" s="17" t="s">
        <v>123</v>
      </c>
      <c r="G35" s="7">
        <v>10775</v>
      </c>
    </row>
    <row r="36" spans="2:7" x14ac:dyDescent="0.25">
      <c r="B36" s="17">
        <v>29</v>
      </c>
      <c r="C36" s="51" t="s">
        <v>152</v>
      </c>
      <c r="D36" s="17" t="s">
        <v>6</v>
      </c>
      <c r="E36" s="19">
        <v>6.06</v>
      </c>
      <c r="F36" s="17" t="s">
        <v>123</v>
      </c>
      <c r="G36" s="7">
        <v>3907</v>
      </c>
    </row>
    <row r="37" spans="2:7" x14ac:dyDescent="0.25">
      <c r="B37" s="17">
        <v>30</v>
      </c>
      <c r="C37" s="51" t="s">
        <v>136</v>
      </c>
      <c r="D37" s="17" t="s">
        <v>6</v>
      </c>
      <c r="E37" s="19">
        <v>1.95</v>
      </c>
      <c r="F37" s="17" t="s">
        <v>123</v>
      </c>
      <c r="G37" s="7">
        <v>1892</v>
      </c>
    </row>
    <row r="38" spans="2:7" x14ac:dyDescent="0.25">
      <c r="B38" s="17">
        <v>31</v>
      </c>
      <c r="C38" s="51" t="s">
        <v>207</v>
      </c>
      <c r="D38" s="17" t="s">
        <v>45</v>
      </c>
      <c r="E38" s="19">
        <v>329.53</v>
      </c>
      <c r="F38" s="17" t="s">
        <v>125</v>
      </c>
      <c r="G38" s="7">
        <v>101975</v>
      </c>
    </row>
    <row r="39" spans="2:7" x14ac:dyDescent="0.25">
      <c r="B39" s="17">
        <v>32</v>
      </c>
      <c r="C39" s="51" t="s">
        <v>409</v>
      </c>
      <c r="D39" s="17" t="s">
        <v>6</v>
      </c>
      <c r="E39" s="19">
        <v>38</v>
      </c>
      <c r="F39" s="17" t="s">
        <v>123</v>
      </c>
      <c r="G39" s="7">
        <v>37400</v>
      </c>
    </row>
    <row r="40" spans="2:7" x14ac:dyDescent="0.25">
      <c r="B40" s="17">
        <v>33</v>
      </c>
      <c r="C40" s="51" t="s">
        <v>142</v>
      </c>
      <c r="D40" s="17" t="s">
        <v>6</v>
      </c>
      <c r="E40" s="19">
        <v>11.67</v>
      </c>
      <c r="F40" s="17" t="s">
        <v>123</v>
      </c>
      <c r="G40" s="7">
        <v>4346</v>
      </c>
    </row>
    <row r="41" spans="2:7" x14ac:dyDescent="0.25">
      <c r="B41" s="17">
        <v>34</v>
      </c>
      <c r="C41" s="51" t="s">
        <v>414</v>
      </c>
      <c r="D41" s="17" t="s">
        <v>6</v>
      </c>
      <c r="E41" s="19">
        <v>7.83</v>
      </c>
      <c r="F41" s="17" t="s">
        <v>123</v>
      </c>
      <c r="G41" s="7">
        <v>442</v>
      </c>
    </row>
    <row r="42" spans="2:7" x14ac:dyDescent="0.25">
      <c r="B42" s="17">
        <v>35</v>
      </c>
      <c r="C42" s="51" t="s">
        <v>600</v>
      </c>
      <c r="D42" s="17" t="s">
        <v>601</v>
      </c>
      <c r="E42" s="19">
        <v>53.89</v>
      </c>
      <c r="F42" s="17" t="s">
        <v>123</v>
      </c>
      <c r="G42" s="7">
        <v>40552</v>
      </c>
    </row>
    <row r="43" spans="2:7" x14ac:dyDescent="0.25">
      <c r="B43" s="17">
        <v>36</v>
      </c>
      <c r="C43" s="51" t="s">
        <v>448</v>
      </c>
      <c r="D43" s="17" t="s">
        <v>164</v>
      </c>
      <c r="E43" s="19">
        <v>2331.23</v>
      </c>
      <c r="F43" s="17" t="s">
        <v>125</v>
      </c>
      <c r="G43" s="7">
        <v>97740</v>
      </c>
    </row>
    <row r="44" spans="2:7" x14ac:dyDescent="0.25">
      <c r="B44" s="17">
        <v>37</v>
      </c>
      <c r="C44" s="51" t="s">
        <v>447</v>
      </c>
      <c r="D44" s="17" t="s">
        <v>164</v>
      </c>
      <c r="E44" s="19">
        <v>6184.12</v>
      </c>
      <c r="F44" s="17" t="s">
        <v>125</v>
      </c>
      <c r="G44" s="7">
        <v>97738</v>
      </c>
    </row>
    <row r="45" spans="2:7" x14ac:dyDescent="0.25">
      <c r="B45" s="17">
        <v>38</v>
      </c>
      <c r="C45" s="51" t="s">
        <v>140</v>
      </c>
      <c r="D45" s="17" t="s">
        <v>139</v>
      </c>
      <c r="E45" s="19">
        <v>157.62</v>
      </c>
      <c r="F45" s="17" t="s">
        <v>123</v>
      </c>
      <c r="G45" s="7">
        <v>2731</v>
      </c>
    </row>
    <row r="46" spans="2:7" x14ac:dyDescent="0.25">
      <c r="B46" s="17">
        <v>39</v>
      </c>
      <c r="C46" s="51" t="s">
        <v>449</v>
      </c>
      <c r="D46" s="17" t="s">
        <v>164</v>
      </c>
      <c r="E46" s="19">
        <v>163.30000000000001</v>
      </c>
      <c r="F46" s="17" t="s">
        <v>125</v>
      </c>
      <c r="G46" s="7">
        <v>101624</v>
      </c>
    </row>
    <row r="47" spans="2:7" x14ac:dyDescent="0.25">
      <c r="B47" s="17">
        <v>40</v>
      </c>
      <c r="C47" s="51" t="s">
        <v>598</v>
      </c>
      <c r="D47" s="17" t="s">
        <v>6</v>
      </c>
      <c r="E47" s="19">
        <v>0.1</v>
      </c>
      <c r="F47" s="17" t="s">
        <v>599</v>
      </c>
      <c r="G47" s="7">
        <v>8214</v>
      </c>
    </row>
    <row r="48" spans="2:7" x14ac:dyDescent="0.25">
      <c r="B48" s="17">
        <v>41</v>
      </c>
      <c r="C48" s="51" t="s">
        <v>153</v>
      </c>
      <c r="D48" s="17" t="s">
        <v>6</v>
      </c>
      <c r="E48" s="19">
        <v>27.8</v>
      </c>
      <c r="F48" s="17" t="s">
        <v>123</v>
      </c>
      <c r="G48" s="7">
        <v>6029</v>
      </c>
    </row>
    <row r="49" spans="2:7" ht="25.5" x14ac:dyDescent="0.25">
      <c r="B49" s="17">
        <v>42</v>
      </c>
      <c r="C49" s="51" t="s">
        <v>444</v>
      </c>
      <c r="D49" s="17" t="s">
        <v>445</v>
      </c>
      <c r="E49" s="19">
        <v>67.61</v>
      </c>
      <c r="F49" s="17" t="s">
        <v>125</v>
      </c>
      <c r="G49" s="7">
        <v>5679</v>
      </c>
    </row>
    <row r="50" spans="2:7" ht="25.5" x14ac:dyDescent="0.25">
      <c r="B50" s="17">
        <v>43</v>
      </c>
      <c r="C50" s="51" t="s">
        <v>442</v>
      </c>
      <c r="D50" s="17" t="s">
        <v>443</v>
      </c>
      <c r="E50" s="19">
        <v>145.74</v>
      </c>
      <c r="F50" s="17" t="s">
        <v>125</v>
      </c>
      <c r="G50" s="7">
        <v>5678</v>
      </c>
    </row>
    <row r="51" spans="2:7" x14ac:dyDescent="0.25">
      <c r="B51" s="17">
        <v>44</v>
      </c>
      <c r="C51" s="51" t="s">
        <v>603</v>
      </c>
      <c r="D51" s="17" t="s">
        <v>182</v>
      </c>
      <c r="E51" s="19">
        <v>52.66</v>
      </c>
      <c r="F51" s="17" t="s">
        <v>123</v>
      </c>
      <c r="G51" s="7">
        <v>38123</v>
      </c>
    </row>
    <row r="52" spans="2:7" x14ac:dyDescent="0.25">
      <c r="B52" s="17">
        <v>45</v>
      </c>
      <c r="C52" s="51" t="s">
        <v>389</v>
      </c>
      <c r="D52" s="17" t="s">
        <v>6</v>
      </c>
      <c r="E52" s="19">
        <v>20.97</v>
      </c>
      <c r="F52" s="17" t="s">
        <v>123</v>
      </c>
      <c r="G52" s="7">
        <v>6146</v>
      </c>
    </row>
    <row r="53" spans="2:7" x14ac:dyDescent="0.25">
      <c r="B53" s="17">
        <v>46</v>
      </c>
      <c r="C53" s="51" t="s">
        <v>602</v>
      </c>
      <c r="D53" s="17" t="s">
        <v>139</v>
      </c>
      <c r="E53" s="19">
        <v>110.22</v>
      </c>
      <c r="F53" s="17" t="s">
        <v>125</v>
      </c>
      <c r="G53" s="7">
        <v>98746</v>
      </c>
    </row>
    <row r="54" spans="2:7" x14ac:dyDescent="0.25">
      <c r="B54" s="17">
        <v>47</v>
      </c>
      <c r="C54" s="51" t="s">
        <v>156</v>
      </c>
      <c r="D54" s="17" t="s">
        <v>6</v>
      </c>
      <c r="E54" s="19">
        <v>85.43</v>
      </c>
      <c r="F54" s="17" t="s">
        <v>123</v>
      </c>
      <c r="G54" s="7">
        <v>20083</v>
      </c>
    </row>
    <row r="55" spans="2:7" x14ac:dyDescent="0.25">
      <c r="B55" s="17">
        <v>48</v>
      </c>
      <c r="C55" s="51" t="s">
        <v>388</v>
      </c>
      <c r="D55" s="17" t="s">
        <v>6</v>
      </c>
      <c r="E55" s="19">
        <v>137.33000000000001</v>
      </c>
      <c r="F55" s="17" t="s">
        <v>125</v>
      </c>
      <c r="G55" s="7">
        <v>86911</v>
      </c>
    </row>
    <row r="56" spans="2:7" x14ac:dyDescent="0.25">
      <c r="B56" s="17">
        <v>49</v>
      </c>
      <c r="C56" s="51" t="s">
        <v>593</v>
      </c>
      <c r="D56" s="17" t="s">
        <v>139</v>
      </c>
      <c r="E56" s="19">
        <v>15.340400000000001</v>
      </c>
      <c r="F56" s="17" t="s">
        <v>592</v>
      </c>
      <c r="G56" s="7" t="s">
        <v>594</v>
      </c>
    </row>
  </sheetData>
  <sortState ref="C8:G56">
    <sortCondition ref="C56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65.7109375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65" t="s">
        <v>110</v>
      </c>
      <c r="C2" s="66"/>
      <c r="D2" s="66"/>
      <c r="E2" s="66"/>
      <c r="F2" s="66"/>
      <c r="G2" s="67"/>
    </row>
    <row r="3" spans="2:7" ht="21" customHeight="1" x14ac:dyDescent="0.25">
      <c r="B3" s="68" t="s">
        <v>105</v>
      </c>
      <c r="C3" s="69"/>
      <c r="D3" s="69"/>
      <c r="E3" s="69"/>
      <c r="F3" s="69"/>
      <c r="G3" s="70"/>
    </row>
    <row r="4" spans="2:7" ht="21" customHeight="1" x14ac:dyDescent="0.25">
      <c r="B4" s="68" t="s">
        <v>13</v>
      </c>
      <c r="C4" s="69"/>
      <c r="D4" s="69"/>
      <c r="E4" s="69"/>
      <c r="F4" s="69"/>
      <c r="G4" s="70"/>
    </row>
    <row r="5" spans="2:7" ht="21" customHeight="1" x14ac:dyDescent="0.25">
      <c r="B5" s="71" t="s">
        <v>0</v>
      </c>
      <c r="C5" s="72"/>
      <c r="D5" s="72"/>
      <c r="E5" s="72"/>
      <c r="F5" s="72"/>
      <c r="G5" s="73"/>
    </row>
    <row r="6" spans="2:7" ht="15.75" x14ac:dyDescent="0.25">
      <c r="B6" s="74" t="s">
        <v>19</v>
      </c>
      <c r="C6" s="74"/>
      <c r="D6" s="74"/>
      <c r="E6" s="74"/>
      <c r="F6" s="74"/>
      <c r="G6" s="74"/>
    </row>
    <row r="7" spans="2:7" x14ac:dyDescent="0.25">
      <c r="B7" s="16" t="s">
        <v>15</v>
      </c>
      <c r="C7" s="16" t="s">
        <v>16</v>
      </c>
      <c r="D7" s="16" t="s">
        <v>6</v>
      </c>
      <c r="E7" s="16" t="s">
        <v>18</v>
      </c>
      <c r="F7" s="16" t="s">
        <v>17</v>
      </c>
      <c r="G7" s="16" t="s">
        <v>1</v>
      </c>
    </row>
    <row r="8" spans="2:7" x14ac:dyDescent="0.25">
      <c r="B8" s="17">
        <v>1</v>
      </c>
      <c r="C8" s="18" t="s">
        <v>607</v>
      </c>
      <c r="D8" s="17" t="s">
        <v>55</v>
      </c>
      <c r="E8" s="19">
        <v>22.4</v>
      </c>
      <c r="F8" s="17" t="s">
        <v>123</v>
      </c>
      <c r="G8" s="7">
        <v>88240</v>
      </c>
    </row>
    <row r="9" spans="2:7" ht="25.5" x14ac:dyDescent="0.25">
      <c r="B9" s="17">
        <v>2</v>
      </c>
      <c r="C9" s="51" t="s">
        <v>149</v>
      </c>
      <c r="D9" s="17" t="s">
        <v>55</v>
      </c>
      <c r="E9" s="19">
        <v>23.95</v>
      </c>
      <c r="F9" s="17" t="s">
        <v>123</v>
      </c>
      <c r="G9" s="7">
        <v>88248</v>
      </c>
    </row>
    <row r="10" spans="2:7" x14ac:dyDescent="0.25">
      <c r="B10" s="17">
        <v>3</v>
      </c>
      <c r="C10" s="51" t="s">
        <v>362</v>
      </c>
      <c r="D10" s="17" t="s">
        <v>55</v>
      </c>
      <c r="E10" s="19">
        <v>24.3</v>
      </c>
      <c r="F10" s="17" t="s">
        <v>123</v>
      </c>
      <c r="G10" s="7">
        <v>88261</v>
      </c>
    </row>
    <row r="11" spans="2:7" x14ac:dyDescent="0.25">
      <c r="B11" s="17">
        <v>4</v>
      </c>
      <c r="C11" s="51" t="s">
        <v>146</v>
      </c>
      <c r="D11" s="17" t="s">
        <v>55</v>
      </c>
      <c r="E11" s="19">
        <v>27.47</v>
      </c>
      <c r="F11" s="17" t="s">
        <v>123</v>
      </c>
      <c r="G11" s="7">
        <v>88264</v>
      </c>
    </row>
    <row r="12" spans="2:7" x14ac:dyDescent="0.25">
      <c r="B12" s="17">
        <v>5</v>
      </c>
      <c r="C12" s="18" t="s">
        <v>148</v>
      </c>
      <c r="D12" s="17" t="s">
        <v>55</v>
      </c>
      <c r="E12" s="19">
        <v>27.39</v>
      </c>
      <c r="F12" s="17" t="s">
        <v>123</v>
      </c>
      <c r="G12" s="7">
        <v>88267</v>
      </c>
    </row>
    <row r="13" spans="2:7" x14ac:dyDescent="0.25">
      <c r="B13" s="17">
        <v>6</v>
      </c>
      <c r="C13" s="18" t="s">
        <v>606</v>
      </c>
      <c r="D13" s="17" t="s">
        <v>55</v>
      </c>
      <c r="E13" s="19">
        <v>26.53</v>
      </c>
      <c r="F13" s="17" t="s">
        <v>123</v>
      </c>
      <c r="G13" s="7">
        <v>88278</v>
      </c>
    </row>
    <row r="14" spans="2:7" x14ac:dyDescent="0.25">
      <c r="B14" s="17">
        <v>7</v>
      </c>
      <c r="C14" s="51" t="s">
        <v>453</v>
      </c>
      <c r="D14" s="17" t="s">
        <v>55</v>
      </c>
      <c r="E14" s="19">
        <v>25.81</v>
      </c>
      <c r="F14" s="17" t="s">
        <v>123</v>
      </c>
      <c r="G14" s="7">
        <v>88309</v>
      </c>
    </row>
    <row r="15" spans="2:7" x14ac:dyDescent="0.25">
      <c r="B15" s="17">
        <v>8</v>
      </c>
      <c r="C15" s="18" t="s">
        <v>604</v>
      </c>
      <c r="D15" s="17" t="s">
        <v>55</v>
      </c>
      <c r="E15" s="19">
        <v>25.61</v>
      </c>
      <c r="F15" s="17" t="s">
        <v>605</v>
      </c>
      <c r="G15" s="7">
        <v>88315</v>
      </c>
    </row>
    <row r="16" spans="2:7" x14ac:dyDescent="0.25">
      <c r="B16" s="17">
        <v>9</v>
      </c>
      <c r="C16" s="18" t="s">
        <v>145</v>
      </c>
      <c r="D16" s="17" t="s">
        <v>55</v>
      </c>
      <c r="E16" s="19">
        <v>21.3</v>
      </c>
      <c r="F16" s="17" t="s">
        <v>123</v>
      </c>
      <c r="G16" s="7">
        <v>88316</v>
      </c>
    </row>
    <row r="17" spans="2:7" x14ac:dyDescent="0.25">
      <c r="B17" s="17">
        <v>10</v>
      </c>
      <c r="C17" s="18" t="s">
        <v>415</v>
      </c>
      <c r="D17" s="17" t="s">
        <v>55</v>
      </c>
      <c r="E17" s="19">
        <v>23.2</v>
      </c>
      <c r="F17" s="17" t="s">
        <v>123</v>
      </c>
      <c r="G17" s="7">
        <v>88325</v>
      </c>
    </row>
  </sheetData>
  <sortState ref="C8:G17">
    <sortCondition ref="C8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showGridLines="0" view="pageBreakPreview" zoomScale="85" zoomScaleNormal="85" zoomScaleSheetLayoutView="85" workbookViewId="0">
      <selection activeCell="B7" sqref="B7"/>
    </sheetView>
  </sheetViews>
  <sheetFormatPr defaultRowHeight="12.75" x14ac:dyDescent="0.25"/>
  <cols>
    <col min="1" max="1" width="2.85546875" style="2" customWidth="1"/>
    <col min="2" max="2" width="18.42578125" style="2" customWidth="1"/>
    <col min="3" max="3" width="60" style="2" customWidth="1"/>
    <col min="4" max="4" width="13.85546875" style="2" customWidth="1"/>
    <col min="5" max="5" width="48.5703125" style="2" customWidth="1"/>
    <col min="6" max="6" width="13.7109375" style="2" customWidth="1"/>
    <col min="7" max="7" width="18.42578125" style="2" customWidth="1"/>
    <col min="8" max="16384" width="9.140625" style="2"/>
  </cols>
  <sheetData>
    <row r="2" spans="2:8" ht="21" customHeight="1" x14ac:dyDescent="0.25">
      <c r="B2" s="65" t="s">
        <v>111</v>
      </c>
      <c r="C2" s="66"/>
      <c r="D2" s="66"/>
      <c r="E2" s="66"/>
      <c r="F2" s="66"/>
      <c r="G2" s="67"/>
    </row>
    <row r="3" spans="2:8" ht="21" customHeight="1" x14ac:dyDescent="0.25">
      <c r="B3" s="68" t="s">
        <v>105</v>
      </c>
      <c r="C3" s="69"/>
      <c r="D3" s="69"/>
      <c r="E3" s="69"/>
      <c r="F3" s="69"/>
      <c r="G3" s="70"/>
    </row>
    <row r="4" spans="2:8" ht="21" customHeight="1" x14ac:dyDescent="0.25">
      <c r="B4" s="68" t="s">
        <v>13</v>
      </c>
      <c r="C4" s="69"/>
      <c r="D4" s="69"/>
      <c r="E4" s="69"/>
      <c r="F4" s="69"/>
      <c r="G4" s="70"/>
    </row>
    <row r="5" spans="2:8" ht="21" customHeight="1" x14ac:dyDescent="0.25">
      <c r="B5" s="71" t="s">
        <v>0</v>
      </c>
      <c r="C5" s="72"/>
      <c r="D5" s="72"/>
      <c r="E5" s="72"/>
      <c r="F5" s="72"/>
      <c r="G5" s="73"/>
    </row>
    <row r="6" spans="2:8" x14ac:dyDescent="0.25">
      <c r="B6" s="14" t="s">
        <v>1</v>
      </c>
      <c r="C6" s="14" t="s">
        <v>12</v>
      </c>
      <c r="D6" s="14"/>
      <c r="E6" s="14" t="s">
        <v>3</v>
      </c>
      <c r="F6" s="14" t="s">
        <v>4</v>
      </c>
      <c r="G6" s="14" t="s">
        <v>5</v>
      </c>
    </row>
    <row r="7" spans="2:8" x14ac:dyDescent="0.25">
      <c r="B7" s="11" t="s">
        <v>99</v>
      </c>
      <c r="C7" s="86"/>
      <c r="D7" s="86"/>
      <c r="E7" s="11"/>
      <c r="F7" s="12"/>
      <c r="G7" s="13" t="str">
        <f>IFERROR(IF(COUNT(G9:G12)&lt;3,SMALL(G9:G12,1),MEDIAN(G9:G12)),"")</f>
        <v/>
      </c>
      <c r="H7" s="15" t="str">
        <f>B7</f>
        <v>COTAÇÃO 01</v>
      </c>
    </row>
    <row r="8" spans="2:8" x14ac:dyDescent="0.25">
      <c r="B8" s="10" t="s">
        <v>7</v>
      </c>
      <c r="C8" s="10" t="s">
        <v>8</v>
      </c>
      <c r="D8" s="10" t="s">
        <v>2</v>
      </c>
      <c r="E8" s="10" t="s">
        <v>11</v>
      </c>
      <c r="F8" s="10" t="s">
        <v>9</v>
      </c>
      <c r="G8" s="10" t="s">
        <v>10</v>
      </c>
      <c r="H8" s="15"/>
    </row>
    <row r="9" spans="2:8" ht="15" x14ac:dyDescent="0.25">
      <c r="B9" s="6"/>
      <c r="C9" s="20"/>
      <c r="D9" s="7"/>
      <c r="E9" s="52"/>
      <c r="F9" s="8"/>
      <c r="G9" s="9"/>
      <c r="H9" s="15"/>
    </row>
    <row r="10" spans="2:8" ht="15" x14ac:dyDescent="0.25">
      <c r="B10" s="6"/>
      <c r="C10" s="20"/>
      <c r="D10" s="7"/>
      <c r="E10" s="52"/>
      <c r="F10" s="8"/>
      <c r="G10" s="9"/>
      <c r="H10" s="15"/>
    </row>
    <row r="11" spans="2:8" ht="15" x14ac:dyDescent="0.25">
      <c r="B11" s="6"/>
      <c r="C11" s="20"/>
      <c r="D11" s="7"/>
      <c r="E11" s="52"/>
      <c r="F11" s="8"/>
      <c r="G11" s="9"/>
      <c r="H11" s="15"/>
    </row>
    <row r="12" spans="2:8" ht="15" x14ac:dyDescent="0.25">
      <c r="B12" s="6"/>
      <c r="C12" s="20"/>
      <c r="D12" s="7"/>
      <c r="E12" s="52"/>
      <c r="F12" s="8"/>
      <c r="G12" s="9"/>
      <c r="H12" s="15"/>
    </row>
    <row r="13" spans="2:8" x14ac:dyDescent="0.25">
      <c r="B13" s="3"/>
      <c r="C13" s="4"/>
      <c r="D13" s="4"/>
      <c r="E13" s="4"/>
      <c r="F13" s="4"/>
      <c r="G13" s="5"/>
      <c r="H13" s="15"/>
    </row>
    <row r="14" spans="2:8" x14ac:dyDescent="0.25">
      <c r="B14" s="14" t="s">
        <v>1</v>
      </c>
      <c r="C14" s="14" t="s">
        <v>12</v>
      </c>
      <c r="D14" s="14"/>
      <c r="E14" s="14" t="s">
        <v>3</v>
      </c>
      <c r="F14" s="14" t="s">
        <v>4</v>
      </c>
      <c r="G14" s="14" t="s">
        <v>5</v>
      </c>
      <c r="H14" s="15"/>
    </row>
    <row r="15" spans="2:8" x14ac:dyDescent="0.25">
      <c r="B15" s="11" t="s">
        <v>100</v>
      </c>
      <c r="C15" s="86"/>
      <c r="D15" s="86"/>
      <c r="E15" s="11"/>
      <c r="F15" s="12"/>
      <c r="G15" s="13" t="str">
        <f>IFERROR(IF(COUNT(G17:G19)&lt;3,SMALL(G17:G19,1),MEDIAN(G17:G19)),"")</f>
        <v/>
      </c>
      <c r="H15" s="15" t="str">
        <f>B15</f>
        <v>COTAÇÃO 02</v>
      </c>
    </row>
    <row r="16" spans="2:8" x14ac:dyDescent="0.25">
      <c r="B16" s="10" t="s">
        <v>7</v>
      </c>
      <c r="C16" s="10" t="s">
        <v>8</v>
      </c>
      <c r="D16" s="10" t="s">
        <v>2</v>
      </c>
      <c r="E16" s="10" t="s">
        <v>11</v>
      </c>
      <c r="F16" s="10" t="s">
        <v>9</v>
      </c>
      <c r="G16" s="10" t="s">
        <v>10</v>
      </c>
      <c r="H16" s="15"/>
    </row>
    <row r="17" spans="2:8" x14ac:dyDescent="0.25">
      <c r="B17" s="6"/>
      <c r="C17" s="20"/>
      <c r="D17" s="7"/>
      <c r="E17" s="18"/>
      <c r="F17" s="8"/>
      <c r="G17" s="9"/>
      <c r="H17" s="15"/>
    </row>
    <row r="18" spans="2:8" x14ac:dyDescent="0.25">
      <c r="B18" s="6"/>
      <c r="C18" s="20"/>
      <c r="D18" s="7"/>
      <c r="E18" s="18"/>
      <c r="F18" s="8"/>
      <c r="G18" s="9"/>
      <c r="H18" s="15"/>
    </row>
    <row r="19" spans="2:8" x14ac:dyDescent="0.25">
      <c r="B19" s="6"/>
      <c r="C19" s="20"/>
      <c r="D19" s="7"/>
      <c r="E19" s="18"/>
      <c r="F19" s="8"/>
      <c r="G19" s="9"/>
      <c r="H19" s="15"/>
    </row>
    <row r="20" spans="2:8" x14ac:dyDescent="0.25">
      <c r="B20" s="3"/>
      <c r="C20" s="4"/>
      <c r="D20" s="4"/>
      <c r="E20" s="4"/>
      <c r="F20" s="4"/>
      <c r="G20" s="5"/>
      <c r="H20" s="15"/>
    </row>
    <row r="21" spans="2:8" x14ac:dyDescent="0.25">
      <c r="B21" s="14" t="s">
        <v>1</v>
      </c>
      <c r="C21" s="14" t="s">
        <v>12</v>
      </c>
      <c r="D21" s="14"/>
      <c r="E21" s="14" t="s">
        <v>3</v>
      </c>
      <c r="F21" s="14" t="s">
        <v>4</v>
      </c>
      <c r="G21" s="14" t="s">
        <v>5</v>
      </c>
      <c r="H21" s="15"/>
    </row>
    <row r="22" spans="2:8" x14ac:dyDescent="0.25">
      <c r="B22" s="11" t="s">
        <v>101</v>
      </c>
      <c r="C22" s="86"/>
      <c r="D22" s="86"/>
      <c r="E22" s="11"/>
      <c r="F22" s="12"/>
      <c r="G22" s="13" t="str">
        <f>IFERROR(IF(COUNT(G24:G26)&lt;3,SMALL(G24:G26,1),MEDIAN(G24:G26)),"")</f>
        <v/>
      </c>
      <c r="H22" s="15" t="str">
        <f>B22</f>
        <v>COTAÇÃO 03</v>
      </c>
    </row>
    <row r="23" spans="2:8" x14ac:dyDescent="0.25">
      <c r="B23" s="10" t="s">
        <v>7</v>
      </c>
      <c r="C23" s="10" t="s">
        <v>8</v>
      </c>
      <c r="D23" s="10" t="s">
        <v>2</v>
      </c>
      <c r="E23" s="10" t="s">
        <v>11</v>
      </c>
      <c r="F23" s="10" t="s">
        <v>9</v>
      </c>
      <c r="G23" s="10" t="s">
        <v>10</v>
      </c>
    </row>
    <row r="24" spans="2:8" x14ac:dyDescent="0.25">
      <c r="B24" s="6"/>
      <c r="C24" s="20"/>
      <c r="D24" s="7"/>
      <c r="E24" s="18"/>
      <c r="F24" s="8"/>
      <c r="G24" s="9"/>
    </row>
    <row r="25" spans="2:8" x14ac:dyDescent="0.25">
      <c r="B25" s="6"/>
      <c r="C25" s="20"/>
      <c r="D25" s="7"/>
      <c r="E25" s="18"/>
      <c r="F25" s="8"/>
      <c r="G25" s="9"/>
    </row>
    <row r="26" spans="2:8" x14ac:dyDescent="0.25">
      <c r="B26" s="6"/>
      <c r="C26" s="20"/>
      <c r="D26" s="7"/>
      <c r="E26" s="18"/>
      <c r="F26" s="8"/>
      <c r="G26" s="9"/>
    </row>
    <row r="27" spans="2:8" x14ac:dyDescent="0.25">
      <c r="B27" s="3"/>
      <c r="C27" s="4"/>
      <c r="D27" s="4"/>
      <c r="E27" s="4"/>
      <c r="F27" s="4"/>
      <c r="G27" s="5"/>
    </row>
  </sheetData>
  <mergeCells count="7">
    <mergeCell ref="C22:D22"/>
    <mergeCell ref="B2:G2"/>
    <mergeCell ref="B3:G3"/>
    <mergeCell ref="B4:G4"/>
    <mergeCell ref="B5:G5"/>
    <mergeCell ref="C7:D7"/>
    <mergeCell ref="C15:D15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showGridLines="0" view="pageBreakPreview" zoomScale="90" zoomScaleNormal="90" zoomScaleSheetLayoutView="90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3" width="36.5703125" style="2" customWidth="1"/>
    <col min="4" max="4" width="13.7109375" style="2" customWidth="1"/>
    <col min="5" max="5" width="18.28515625" style="2" customWidth="1"/>
    <col min="6" max="6" width="13.7109375" style="2" customWidth="1"/>
    <col min="7" max="7" width="18.28515625" style="2" customWidth="1"/>
    <col min="8" max="8" width="13.7109375" style="2" customWidth="1"/>
    <col min="9" max="9" width="18.28515625" style="2" customWidth="1"/>
    <col min="10" max="10" width="13.7109375" style="2" customWidth="1"/>
    <col min="11" max="11" width="18.28515625" style="2" customWidth="1"/>
    <col min="12" max="12" width="13.7109375" style="2" customWidth="1"/>
    <col min="13" max="13" width="18.28515625" style="2" customWidth="1"/>
    <col min="14" max="14" width="13.7109375" style="2" customWidth="1"/>
    <col min="15" max="15" width="18.28515625" style="2" customWidth="1"/>
    <col min="16" max="16" width="13.7109375" style="2" customWidth="1"/>
    <col min="17" max="17" width="18.28515625" style="2" customWidth="1"/>
    <col min="18" max="18" width="13.7109375" style="2" customWidth="1"/>
    <col min="19" max="19" width="18.28515625" style="2" customWidth="1"/>
    <col min="20" max="16384" width="9.140625" style="2"/>
  </cols>
  <sheetData>
    <row r="1" spans="2:20" ht="15" customHeight="1" x14ac:dyDescent="0.25"/>
    <row r="2" spans="2:20" ht="21" customHeight="1" x14ac:dyDescent="0.25">
      <c r="B2" s="65" t="s">
        <v>112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2:20" ht="21" customHeight="1" x14ac:dyDescent="0.25">
      <c r="B3" s="68" t="s">
        <v>105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</row>
    <row r="4" spans="2:20" ht="21" customHeight="1" x14ac:dyDescent="0.25">
      <c r="B4" s="68" t="s">
        <v>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</row>
    <row r="5" spans="2:20" ht="21" customHeight="1" x14ac:dyDescent="0.25">
      <c r="B5" s="71" t="s">
        <v>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</row>
    <row r="6" spans="2:20" ht="15.75" x14ac:dyDescent="0.25">
      <c r="B6" s="94" t="s">
        <v>71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2:20" x14ac:dyDescent="0.25">
      <c r="B7" s="87" t="s">
        <v>15</v>
      </c>
      <c r="C7" s="88"/>
      <c r="D7" s="91" t="s">
        <v>72</v>
      </c>
      <c r="E7" s="92"/>
      <c r="F7" s="91" t="s">
        <v>75</v>
      </c>
      <c r="G7" s="92"/>
      <c r="H7" s="91" t="s">
        <v>78</v>
      </c>
      <c r="I7" s="92"/>
      <c r="J7" s="91" t="s">
        <v>620</v>
      </c>
      <c r="K7" s="92"/>
      <c r="L7" s="91" t="s">
        <v>621</v>
      </c>
      <c r="M7" s="92"/>
      <c r="N7" s="91" t="s">
        <v>622</v>
      </c>
      <c r="O7" s="92"/>
      <c r="P7" s="91" t="s">
        <v>623</v>
      </c>
      <c r="Q7" s="92"/>
      <c r="R7" s="91" t="s">
        <v>624</v>
      </c>
      <c r="S7" s="92"/>
    </row>
    <row r="8" spans="2:20" x14ac:dyDescent="0.25">
      <c r="B8" s="89"/>
      <c r="C8" s="90"/>
      <c r="D8" s="16" t="s">
        <v>74</v>
      </c>
      <c r="E8" s="16" t="s">
        <v>73</v>
      </c>
      <c r="F8" s="59" t="s">
        <v>74</v>
      </c>
      <c r="G8" s="59" t="s">
        <v>73</v>
      </c>
      <c r="H8" s="59" t="s">
        <v>74</v>
      </c>
      <c r="I8" s="59" t="s">
        <v>73</v>
      </c>
      <c r="J8" s="59" t="s">
        <v>74</v>
      </c>
      <c r="K8" s="59" t="s">
        <v>73</v>
      </c>
      <c r="L8" s="59" t="s">
        <v>74</v>
      </c>
      <c r="M8" s="59" t="s">
        <v>73</v>
      </c>
      <c r="N8" s="59" t="s">
        <v>74</v>
      </c>
      <c r="O8" s="59" t="s">
        <v>73</v>
      </c>
      <c r="P8" s="16" t="s">
        <v>74</v>
      </c>
      <c r="Q8" s="16" t="s">
        <v>73</v>
      </c>
      <c r="R8" s="16" t="s">
        <v>74</v>
      </c>
      <c r="S8" s="16" t="s">
        <v>73</v>
      </c>
    </row>
    <row r="9" spans="2:20" x14ac:dyDescent="0.25">
      <c r="B9" s="37">
        <v>1</v>
      </c>
      <c r="C9" s="61" t="str">
        <f>VLOOKUP(B9,PO!B9:N191,2,0)</f>
        <v>ADMINISTRAÇÃO DE OBRA</v>
      </c>
      <c r="D9" s="39">
        <f>1/8</f>
        <v>0.125</v>
      </c>
      <c r="E9" s="38">
        <f>D9*PO!$N$12</f>
        <v>3689.8774999999996</v>
      </c>
      <c r="F9" s="39">
        <f>1/8</f>
        <v>0.125</v>
      </c>
      <c r="G9" s="38">
        <f>F9*PO!$N$12</f>
        <v>3689.8774999999996</v>
      </c>
      <c r="H9" s="39">
        <f>1/8</f>
        <v>0.125</v>
      </c>
      <c r="I9" s="38">
        <f>H9*PO!$N$12</f>
        <v>3689.8774999999996</v>
      </c>
      <c r="J9" s="39">
        <f>1/8</f>
        <v>0.125</v>
      </c>
      <c r="K9" s="38">
        <f>J9*PO!$N$12</f>
        <v>3689.8774999999996</v>
      </c>
      <c r="L9" s="39">
        <f>1/8</f>
        <v>0.125</v>
      </c>
      <c r="M9" s="38">
        <f>L9*PO!$N$12</f>
        <v>3689.8774999999996</v>
      </c>
      <c r="N9" s="39">
        <f>1/8</f>
        <v>0.125</v>
      </c>
      <c r="O9" s="38">
        <f>N9*PO!$N$12</f>
        <v>3689.8774999999996</v>
      </c>
      <c r="P9" s="39">
        <f>1/8</f>
        <v>0.125</v>
      </c>
      <c r="Q9" s="38">
        <f>P9*PO!$N$12</f>
        <v>3689.8774999999996</v>
      </c>
      <c r="R9" s="39">
        <f>1/8</f>
        <v>0.125</v>
      </c>
      <c r="S9" s="38">
        <f>R9*PO!$N$12</f>
        <v>3689.8774999999996</v>
      </c>
      <c r="T9" s="43">
        <f>D9+F9+H9+J9+L9+N9+P9+R9</f>
        <v>1</v>
      </c>
    </row>
    <row r="10" spans="2:20" x14ac:dyDescent="0.25">
      <c r="B10" s="37">
        <v>2</v>
      </c>
      <c r="C10" s="61" t="str">
        <f>VLOOKUP(B10,PO!B10:N192,2,0)</f>
        <v>SERVIÇOS INICIAIS</v>
      </c>
      <c r="D10" s="39">
        <v>1</v>
      </c>
      <c r="E10" s="38">
        <f>D10*PO!$N$20</f>
        <v>13547.150000000001</v>
      </c>
      <c r="F10" s="39">
        <v>0</v>
      </c>
      <c r="G10" s="38">
        <f>F10*PO!$N$20</f>
        <v>0</v>
      </c>
      <c r="H10" s="39">
        <v>0</v>
      </c>
      <c r="I10" s="38">
        <f>H10*PO!$N$20</f>
        <v>0</v>
      </c>
      <c r="J10" s="39">
        <v>0</v>
      </c>
      <c r="K10" s="38">
        <f>J10*PO!$N$20</f>
        <v>0</v>
      </c>
      <c r="L10" s="39">
        <v>0</v>
      </c>
      <c r="M10" s="38">
        <f>L10*PO!$N$20</f>
        <v>0</v>
      </c>
      <c r="N10" s="39">
        <v>0</v>
      </c>
      <c r="O10" s="38">
        <f>N10*PO!$N$20</f>
        <v>0</v>
      </c>
      <c r="P10" s="39">
        <v>0</v>
      </c>
      <c r="Q10" s="38">
        <f>P10*PO!$N$20</f>
        <v>0</v>
      </c>
      <c r="R10" s="39">
        <v>0</v>
      </c>
      <c r="S10" s="38">
        <f>R10*PO!$N$20</f>
        <v>0</v>
      </c>
      <c r="T10" s="43">
        <f t="shared" ref="T10:T23" si="0">D10+F10+H10+J10+L10+N10+P10+R10</f>
        <v>1</v>
      </c>
    </row>
    <row r="11" spans="2:20" x14ac:dyDescent="0.25">
      <c r="B11" s="37">
        <v>3</v>
      </c>
      <c r="C11" s="61" t="str">
        <f>VLOOKUP(B11,PO!B11:N193,2,0)</f>
        <v>INFRAESTRUTURA E TERRAPLENAGEM</v>
      </c>
      <c r="D11" s="39">
        <v>0.6</v>
      </c>
      <c r="E11" s="38">
        <f>D11*PO!$N$35</f>
        <v>46677.498</v>
      </c>
      <c r="F11" s="39">
        <v>0.4</v>
      </c>
      <c r="G11" s="38">
        <f>F11*PO!$N$35</f>
        <v>31118.332000000002</v>
      </c>
      <c r="H11" s="39">
        <v>0</v>
      </c>
      <c r="I11" s="38">
        <f>H11*PO!$N$35</f>
        <v>0</v>
      </c>
      <c r="J11" s="39">
        <v>0</v>
      </c>
      <c r="K11" s="38">
        <f>J11*PO!$N$35</f>
        <v>0</v>
      </c>
      <c r="L11" s="39">
        <v>0</v>
      </c>
      <c r="M11" s="38">
        <f>L11*PO!$N$35</f>
        <v>0</v>
      </c>
      <c r="N11" s="39">
        <v>0</v>
      </c>
      <c r="O11" s="38">
        <f>N11*PO!$N$35</f>
        <v>0</v>
      </c>
      <c r="P11" s="39">
        <v>0</v>
      </c>
      <c r="Q11" s="38">
        <f>P11*PO!$N$35</f>
        <v>0</v>
      </c>
      <c r="R11" s="39">
        <v>0</v>
      </c>
      <c r="S11" s="38">
        <f>R11*PO!$N$35</f>
        <v>0</v>
      </c>
      <c r="T11" s="43">
        <f t="shared" si="0"/>
        <v>1</v>
      </c>
    </row>
    <row r="12" spans="2:20" x14ac:dyDescent="0.25">
      <c r="B12" s="37">
        <v>4</v>
      </c>
      <c r="C12" s="61" t="str">
        <f>VLOOKUP(B12,PO!B12:N194,2,0)</f>
        <v>SUPRAESTRUTURA</v>
      </c>
      <c r="D12" s="39">
        <v>0</v>
      </c>
      <c r="E12" s="38">
        <f>D12*PO!$N$45</f>
        <v>0</v>
      </c>
      <c r="F12" s="39">
        <v>0.2</v>
      </c>
      <c r="G12" s="38">
        <f>F12*PO!$N$45</f>
        <v>52720.616000000009</v>
      </c>
      <c r="H12" s="39">
        <v>0.3</v>
      </c>
      <c r="I12" s="38">
        <f>H12*PO!$N$45</f>
        <v>79080.923999999999</v>
      </c>
      <c r="J12" s="39">
        <v>0.2</v>
      </c>
      <c r="K12" s="38">
        <f>J12*PO!$N$45</f>
        <v>52720.616000000009</v>
      </c>
      <c r="L12" s="39">
        <v>0.3</v>
      </c>
      <c r="M12" s="38">
        <f>L12*PO!$N$45</f>
        <v>79080.923999999999</v>
      </c>
      <c r="N12" s="39">
        <v>0</v>
      </c>
      <c r="O12" s="38">
        <f>N12*PO!$N$45</f>
        <v>0</v>
      </c>
      <c r="P12" s="39">
        <v>0</v>
      </c>
      <c r="Q12" s="38">
        <f>P12*PO!$N$45</f>
        <v>0</v>
      </c>
      <c r="R12" s="39">
        <v>0</v>
      </c>
      <c r="S12" s="38">
        <f>R12*PO!$N$45</f>
        <v>0</v>
      </c>
      <c r="T12" s="43">
        <f t="shared" si="0"/>
        <v>1</v>
      </c>
    </row>
    <row r="13" spans="2:20" x14ac:dyDescent="0.25">
      <c r="B13" s="37">
        <v>5</v>
      </c>
      <c r="C13" s="61" t="str">
        <f>VLOOKUP(B13,PO!B13:N195,2,0)</f>
        <v>PAREDES E PAINÉIS</v>
      </c>
      <c r="D13" s="39">
        <v>0</v>
      </c>
      <c r="E13" s="38">
        <f>D13*PO!$N$53</f>
        <v>0</v>
      </c>
      <c r="F13" s="39">
        <v>0</v>
      </c>
      <c r="G13" s="38">
        <f>F13*PO!$N$53</f>
        <v>0</v>
      </c>
      <c r="H13" s="39">
        <v>0.2</v>
      </c>
      <c r="I13" s="38">
        <f>H13*PO!$N$53</f>
        <v>28550.597999999998</v>
      </c>
      <c r="J13" s="39">
        <v>0.4</v>
      </c>
      <c r="K13" s="38">
        <f>J13*PO!$N$53</f>
        <v>57101.195999999996</v>
      </c>
      <c r="L13" s="39">
        <v>0.4</v>
      </c>
      <c r="M13" s="38">
        <f>L13*PO!$N$53</f>
        <v>57101.195999999996</v>
      </c>
      <c r="N13" s="39">
        <v>0</v>
      </c>
      <c r="O13" s="38">
        <f>N13*PO!$N$53</f>
        <v>0</v>
      </c>
      <c r="P13" s="39">
        <v>0</v>
      </c>
      <c r="Q13" s="38">
        <f>P13*PO!$N$53</f>
        <v>0</v>
      </c>
      <c r="R13" s="39">
        <v>0</v>
      </c>
      <c r="S13" s="38">
        <f>R13*PO!$N$53</f>
        <v>0</v>
      </c>
      <c r="T13" s="43">
        <f t="shared" si="0"/>
        <v>1</v>
      </c>
    </row>
    <row r="14" spans="2:20" x14ac:dyDescent="0.25">
      <c r="B14" s="37">
        <v>6</v>
      </c>
      <c r="C14" s="61" t="str">
        <f>VLOOKUP(B14,PO!B14:N196,2,0)</f>
        <v>REVESTIMENTOS</v>
      </c>
      <c r="D14" s="39">
        <v>0</v>
      </c>
      <c r="E14" s="38">
        <f>D14*PO!$N$65</f>
        <v>0</v>
      </c>
      <c r="F14" s="39">
        <v>0</v>
      </c>
      <c r="G14" s="38">
        <f>F14*PO!$N$65</f>
        <v>0</v>
      </c>
      <c r="H14" s="39">
        <v>0</v>
      </c>
      <c r="I14" s="38">
        <f>H14*PO!$N$65</f>
        <v>0</v>
      </c>
      <c r="J14" s="39">
        <v>0.1</v>
      </c>
      <c r="K14" s="38">
        <f>J14*PO!$N$65</f>
        <v>14508.45</v>
      </c>
      <c r="L14" s="39">
        <v>0.3</v>
      </c>
      <c r="M14" s="38">
        <f>L14*PO!$N$65</f>
        <v>43525.35</v>
      </c>
      <c r="N14" s="39">
        <v>0.6</v>
      </c>
      <c r="O14" s="38">
        <f>N14*PO!$N$65</f>
        <v>87050.7</v>
      </c>
      <c r="P14" s="39">
        <v>0</v>
      </c>
      <c r="Q14" s="38">
        <f>P14*PO!$N$65</f>
        <v>0</v>
      </c>
      <c r="R14" s="39">
        <v>0</v>
      </c>
      <c r="S14" s="38">
        <f>R14*PO!$N$65</f>
        <v>0</v>
      </c>
      <c r="T14" s="43">
        <f t="shared" si="0"/>
        <v>1</v>
      </c>
    </row>
    <row r="15" spans="2:20" x14ac:dyDescent="0.25">
      <c r="B15" s="37">
        <v>7</v>
      </c>
      <c r="C15" s="61" t="str">
        <f>VLOOKUP(B15,PO!B15:N197,2,0)</f>
        <v>COBERTURA</v>
      </c>
      <c r="D15" s="39">
        <v>0</v>
      </c>
      <c r="E15" s="38">
        <f>D15*PO!$N$73</f>
        <v>0</v>
      </c>
      <c r="F15" s="39">
        <v>0</v>
      </c>
      <c r="G15" s="38">
        <f>F15*PO!$N$73</f>
        <v>0</v>
      </c>
      <c r="H15" s="39">
        <v>0</v>
      </c>
      <c r="I15" s="38">
        <f>H15*PO!$N$73</f>
        <v>0</v>
      </c>
      <c r="J15" s="39">
        <v>0</v>
      </c>
      <c r="K15" s="38">
        <f>J15*PO!$N$73</f>
        <v>0</v>
      </c>
      <c r="L15" s="39">
        <v>0.4</v>
      </c>
      <c r="M15" s="38">
        <f>L15*PO!$N$73</f>
        <v>21638.256000000001</v>
      </c>
      <c r="N15" s="39">
        <v>0.6</v>
      </c>
      <c r="O15" s="38">
        <f>N15*PO!$N$73</f>
        <v>32457.383999999998</v>
      </c>
      <c r="P15" s="39">
        <v>0</v>
      </c>
      <c r="Q15" s="38">
        <f>P15*PO!$N$73</f>
        <v>0</v>
      </c>
      <c r="R15" s="39">
        <v>0</v>
      </c>
      <c r="S15" s="38">
        <f>R15*PO!$N$73</f>
        <v>0</v>
      </c>
      <c r="T15" s="43">
        <f t="shared" si="0"/>
        <v>1</v>
      </c>
    </row>
    <row r="16" spans="2:20" x14ac:dyDescent="0.25">
      <c r="B16" s="37">
        <v>8</v>
      </c>
      <c r="C16" s="61" t="str">
        <f>VLOOKUP(B16,PO!B16:N198,2,0)</f>
        <v>IMPERMEABILIZAÇÃO</v>
      </c>
      <c r="D16" s="39">
        <v>0</v>
      </c>
      <c r="E16" s="38">
        <f>D16*PO!$N$77</f>
        <v>0</v>
      </c>
      <c r="F16" s="39">
        <v>0.4</v>
      </c>
      <c r="G16" s="38">
        <f>F16*PO!$N$77</f>
        <v>3102.1000000000004</v>
      </c>
      <c r="H16" s="39">
        <v>0</v>
      </c>
      <c r="I16" s="38">
        <f>H16*PO!$N$77</f>
        <v>0</v>
      </c>
      <c r="J16" s="39">
        <v>0</v>
      </c>
      <c r="K16" s="38">
        <f>J16*PO!$N$77</f>
        <v>0</v>
      </c>
      <c r="L16" s="39">
        <v>0.6</v>
      </c>
      <c r="M16" s="38">
        <f>L16*PO!$N$77</f>
        <v>4653.1499999999996</v>
      </c>
      <c r="N16" s="39">
        <v>0</v>
      </c>
      <c r="O16" s="38">
        <f>N16*PO!$N$77</f>
        <v>0</v>
      </c>
      <c r="P16" s="39">
        <v>0</v>
      </c>
      <c r="Q16" s="38">
        <f>P16*PO!$N$77</f>
        <v>0</v>
      </c>
      <c r="R16" s="39">
        <v>0</v>
      </c>
      <c r="S16" s="38">
        <f>R16*PO!$N$77</f>
        <v>0</v>
      </c>
      <c r="T16" s="43">
        <f t="shared" si="0"/>
        <v>1</v>
      </c>
    </row>
    <row r="17" spans="2:20" x14ac:dyDescent="0.25">
      <c r="B17" s="37">
        <v>9</v>
      </c>
      <c r="C17" s="61" t="str">
        <f>VLOOKUP(B17,PO!B17:N199,2,0)</f>
        <v>PINTURAS</v>
      </c>
      <c r="D17" s="39">
        <v>0</v>
      </c>
      <c r="E17" s="38">
        <f>D17*PO!$N$91</f>
        <v>0</v>
      </c>
      <c r="F17" s="39">
        <v>0</v>
      </c>
      <c r="G17" s="38">
        <f>F17*PO!$N$91</f>
        <v>0</v>
      </c>
      <c r="H17" s="39">
        <v>0</v>
      </c>
      <c r="I17" s="38">
        <f>H17*PO!$N$91</f>
        <v>0</v>
      </c>
      <c r="J17" s="39">
        <v>0</v>
      </c>
      <c r="K17" s="38">
        <f>J17*PO!$N$91</f>
        <v>0</v>
      </c>
      <c r="L17" s="39">
        <v>0</v>
      </c>
      <c r="M17" s="38">
        <f>L17*PO!$N$91</f>
        <v>0</v>
      </c>
      <c r="N17" s="39">
        <v>0.2</v>
      </c>
      <c r="O17" s="38">
        <f>N17*PO!$N$91</f>
        <v>14015.868000000002</v>
      </c>
      <c r="P17" s="39">
        <v>0.6</v>
      </c>
      <c r="Q17" s="38">
        <f>P17*PO!$N$91</f>
        <v>42047.604000000007</v>
      </c>
      <c r="R17" s="39">
        <v>0.2</v>
      </c>
      <c r="S17" s="38">
        <f>R17*PO!$N$91</f>
        <v>14015.868000000002</v>
      </c>
      <c r="T17" s="43">
        <f t="shared" si="0"/>
        <v>1</v>
      </c>
    </row>
    <row r="18" spans="2:20" x14ac:dyDescent="0.25">
      <c r="B18" s="37">
        <v>10</v>
      </c>
      <c r="C18" s="61" t="str">
        <f>VLOOKUP(B18,PO!B18:N200,2,0)</f>
        <v>PAVIMENTAÇÃO</v>
      </c>
      <c r="D18" s="39">
        <v>0</v>
      </c>
      <c r="E18" s="38">
        <f>D18*PO!$N$99</f>
        <v>0</v>
      </c>
      <c r="F18" s="39">
        <v>0</v>
      </c>
      <c r="G18" s="38">
        <f>F18*PO!$N$99</f>
        <v>0</v>
      </c>
      <c r="H18" s="39">
        <v>0</v>
      </c>
      <c r="I18" s="38">
        <f>H18*PO!$N$99</f>
        <v>0</v>
      </c>
      <c r="J18" s="39">
        <v>0</v>
      </c>
      <c r="K18" s="38">
        <f>J18*PO!$N$99</f>
        <v>0</v>
      </c>
      <c r="L18" s="39">
        <v>0.2</v>
      </c>
      <c r="M18" s="38">
        <f>L18*PO!$N$99</f>
        <v>9227.1059999999998</v>
      </c>
      <c r="N18" s="39">
        <v>0.2</v>
      </c>
      <c r="O18" s="38">
        <f>N18*PO!$N$99</f>
        <v>9227.1059999999998</v>
      </c>
      <c r="P18" s="39">
        <v>0.6</v>
      </c>
      <c r="Q18" s="38">
        <f>P18*PO!$N$99</f>
        <v>27681.317999999999</v>
      </c>
      <c r="R18" s="39">
        <v>0</v>
      </c>
      <c r="S18" s="38">
        <f>R18*PO!$N$99</f>
        <v>0</v>
      </c>
      <c r="T18" s="43">
        <f t="shared" si="0"/>
        <v>1</v>
      </c>
    </row>
    <row r="19" spans="2:20" x14ac:dyDescent="0.25">
      <c r="B19" s="37">
        <v>11</v>
      </c>
      <c r="C19" s="61" t="str">
        <f>VLOOKUP(B19,PO!B19:N201,2,0)</f>
        <v>ESQUADRIAS E ACESSÓRIOS</v>
      </c>
      <c r="D19" s="39">
        <v>0</v>
      </c>
      <c r="E19" s="38">
        <f>D19*PO!$N$114</f>
        <v>0</v>
      </c>
      <c r="F19" s="39">
        <v>0</v>
      </c>
      <c r="G19" s="38">
        <f>F19*PO!$N$114</f>
        <v>0</v>
      </c>
      <c r="H19" s="39">
        <v>0</v>
      </c>
      <c r="I19" s="38">
        <f>H19*PO!$N$114</f>
        <v>0</v>
      </c>
      <c r="J19" s="39">
        <v>0</v>
      </c>
      <c r="K19" s="38">
        <f>J19*PO!$N$114</f>
        <v>0</v>
      </c>
      <c r="L19" s="39">
        <v>0</v>
      </c>
      <c r="M19" s="38">
        <f>L19*PO!$N$114</f>
        <v>0</v>
      </c>
      <c r="N19" s="39">
        <v>0.5</v>
      </c>
      <c r="O19" s="38">
        <f>N19*PO!$N$114</f>
        <v>41122.119999999995</v>
      </c>
      <c r="P19" s="39">
        <v>0.5</v>
      </c>
      <c r="Q19" s="38">
        <f>P19*PO!$N$114</f>
        <v>41122.119999999995</v>
      </c>
      <c r="R19" s="39">
        <v>0</v>
      </c>
      <c r="S19" s="38">
        <f>R19*PO!$N$114</f>
        <v>0</v>
      </c>
      <c r="T19" s="43">
        <f t="shared" si="0"/>
        <v>1</v>
      </c>
    </row>
    <row r="20" spans="2:20" x14ac:dyDescent="0.25">
      <c r="B20" s="37">
        <v>12</v>
      </c>
      <c r="C20" s="61" t="str">
        <f>VLOOKUP(B20,PO!B20:N202,2,0)</f>
        <v>INSTALAÇÕES HIDROSSANITÁRIAS</v>
      </c>
      <c r="D20" s="39">
        <v>0</v>
      </c>
      <c r="E20" s="38">
        <f>D20*PO!$N$149</f>
        <v>0</v>
      </c>
      <c r="F20" s="39">
        <v>0.2</v>
      </c>
      <c r="G20" s="38">
        <f>F20*PO!$N$149</f>
        <v>13478.591999999999</v>
      </c>
      <c r="H20" s="39">
        <v>0</v>
      </c>
      <c r="I20" s="38">
        <f>H20*PO!$N$149</f>
        <v>0</v>
      </c>
      <c r="J20" s="39">
        <v>0.2</v>
      </c>
      <c r="K20" s="38">
        <f>J20*PO!$N$149</f>
        <v>13478.591999999999</v>
      </c>
      <c r="L20" s="39">
        <v>0</v>
      </c>
      <c r="M20" s="38">
        <f>L20*PO!$N$149</f>
        <v>0</v>
      </c>
      <c r="N20" s="39">
        <v>0.4</v>
      </c>
      <c r="O20" s="38">
        <f>N20*PO!$N$149</f>
        <v>26957.183999999997</v>
      </c>
      <c r="P20" s="39">
        <v>0</v>
      </c>
      <c r="Q20" s="38">
        <f>P20*PO!$N$149</f>
        <v>0</v>
      </c>
      <c r="R20" s="39">
        <v>0.2</v>
      </c>
      <c r="S20" s="38">
        <f>R20*PO!$N$149</f>
        <v>13478.591999999999</v>
      </c>
      <c r="T20" s="43">
        <f t="shared" si="0"/>
        <v>1</v>
      </c>
    </row>
    <row r="21" spans="2:20" x14ac:dyDescent="0.25">
      <c r="B21" s="37">
        <v>13</v>
      </c>
      <c r="C21" s="61" t="str">
        <f>VLOOKUP(B21,PO!B21:N203,2,0)</f>
        <v>INSTALAÇÕES ELÉTRICAS</v>
      </c>
      <c r="D21" s="39">
        <v>0</v>
      </c>
      <c r="E21" s="38">
        <f>D21*PO!$N$185</f>
        <v>0</v>
      </c>
      <c r="F21" s="39">
        <v>0</v>
      </c>
      <c r="G21" s="38">
        <f>F21*PO!$N$185</f>
        <v>0</v>
      </c>
      <c r="H21" s="39">
        <v>0.2</v>
      </c>
      <c r="I21" s="38">
        <f>H21*PO!$N$185</f>
        <v>11211.582000000002</v>
      </c>
      <c r="J21" s="39">
        <v>0</v>
      </c>
      <c r="K21" s="38">
        <f>J21*PO!$N$185</f>
        <v>0</v>
      </c>
      <c r="L21" s="39">
        <v>0.4</v>
      </c>
      <c r="M21" s="38">
        <f>L21*PO!$N$185</f>
        <v>22423.164000000004</v>
      </c>
      <c r="N21" s="39">
        <v>0.4</v>
      </c>
      <c r="O21" s="38">
        <f>N21*PO!$N$185</f>
        <v>22423.164000000004</v>
      </c>
      <c r="P21" s="39">
        <v>0</v>
      </c>
      <c r="Q21" s="38">
        <f>P21*PO!$N$185</f>
        <v>0</v>
      </c>
      <c r="R21" s="39">
        <v>0</v>
      </c>
      <c r="S21" s="38">
        <f>R21*PO!$N$185</f>
        <v>0</v>
      </c>
      <c r="T21" s="43">
        <f t="shared" si="0"/>
        <v>1</v>
      </c>
    </row>
    <row r="22" spans="2:20" x14ac:dyDescent="0.25">
      <c r="B22" s="37">
        <v>14</v>
      </c>
      <c r="C22" s="61" t="str">
        <f>VLOOKUP(B22,PO!B22:N204,2,0)</f>
        <v>EQUIPAMENTOS</v>
      </c>
      <c r="D22" s="39">
        <v>0</v>
      </c>
      <c r="E22" s="38">
        <f>D22*PO!$N$188</f>
        <v>0</v>
      </c>
      <c r="F22" s="39">
        <v>0</v>
      </c>
      <c r="G22" s="38">
        <f>F22*PO!$N$188</f>
        <v>0</v>
      </c>
      <c r="H22" s="39">
        <v>0</v>
      </c>
      <c r="I22" s="38">
        <f>H22*PO!$N$188</f>
        <v>0</v>
      </c>
      <c r="J22" s="39">
        <v>0</v>
      </c>
      <c r="K22" s="38">
        <f>J22*PO!$N$188</f>
        <v>0</v>
      </c>
      <c r="L22" s="39">
        <v>0</v>
      </c>
      <c r="M22" s="38">
        <f>L22*PO!$N$188</f>
        <v>0</v>
      </c>
      <c r="N22" s="39">
        <v>0.2</v>
      </c>
      <c r="O22" s="38">
        <f>N22*PO!$N$188</f>
        <v>10806.384</v>
      </c>
      <c r="P22" s="39">
        <v>0.8</v>
      </c>
      <c r="Q22" s="38">
        <f>P22*PO!$N$188</f>
        <v>43225.536</v>
      </c>
      <c r="R22" s="39">
        <v>0</v>
      </c>
      <c r="S22" s="38">
        <f>R22*PO!$N$188</f>
        <v>0</v>
      </c>
      <c r="T22" s="43">
        <f t="shared" si="0"/>
        <v>1</v>
      </c>
    </row>
    <row r="23" spans="2:20" x14ac:dyDescent="0.25">
      <c r="B23" s="37">
        <v>15</v>
      </c>
      <c r="C23" s="61" t="str">
        <f>VLOOKUP(B23,PO!B23:N205,2,0)</f>
        <v>SERVIÇOS FINAIS</v>
      </c>
      <c r="D23" s="39">
        <v>0</v>
      </c>
      <c r="E23" s="38">
        <f>D23*PO!$N$191</f>
        <v>0</v>
      </c>
      <c r="F23" s="39">
        <v>0</v>
      </c>
      <c r="G23" s="38">
        <f>F23*PO!$N$191</f>
        <v>0</v>
      </c>
      <c r="H23" s="39">
        <v>0</v>
      </c>
      <c r="I23" s="38">
        <f>H23*PO!$N$191</f>
        <v>0</v>
      </c>
      <c r="J23" s="39">
        <v>0</v>
      </c>
      <c r="K23" s="38">
        <f>J23*PO!$N$191</f>
        <v>0</v>
      </c>
      <c r="L23" s="39">
        <v>0</v>
      </c>
      <c r="M23" s="38">
        <f>L23*PO!$N$191</f>
        <v>0</v>
      </c>
      <c r="N23" s="39">
        <v>0</v>
      </c>
      <c r="O23" s="38">
        <f>N23*PO!$N$191</f>
        <v>0</v>
      </c>
      <c r="P23" s="39">
        <v>0</v>
      </c>
      <c r="Q23" s="38">
        <f>P23*PO!$N$191</f>
        <v>0</v>
      </c>
      <c r="R23" s="39">
        <v>1</v>
      </c>
      <c r="S23" s="38">
        <f>R23*PO!$N$191</f>
        <v>1170.4099999999999</v>
      </c>
      <c r="T23" s="43">
        <f t="shared" si="0"/>
        <v>1</v>
      </c>
    </row>
    <row r="24" spans="2:20" ht="15" customHeight="1" x14ac:dyDescent="0.25">
      <c r="B24" s="93" t="s">
        <v>76</v>
      </c>
      <c r="C24" s="93"/>
      <c r="D24" s="40">
        <f>IFERROR(E24/PO!$N$192,"-")</f>
        <v>5.7515067255243552E-2</v>
      </c>
      <c r="E24" s="41">
        <f>SUM(E9:E23)</f>
        <v>63914.525500000003</v>
      </c>
      <c r="F24" s="40">
        <f>IFERROR(G24/PO!$N$192,"-")</f>
        <v>9.3685525380665727E-2</v>
      </c>
      <c r="G24" s="41">
        <f>SUM(G9:G23)</f>
        <v>104109.51750000002</v>
      </c>
      <c r="H24" s="40">
        <f>IFERROR(I24/PO!$N$192,"-")</f>
        <v>0.11026433532637293</v>
      </c>
      <c r="I24" s="41">
        <f>SUM(I9:I23)</f>
        <v>122532.98149999999</v>
      </c>
      <c r="J24" s="40">
        <f>IFERROR(K24/PO!$N$192,"-")</f>
        <v>0.12733113474736113</v>
      </c>
      <c r="K24" s="41">
        <f>SUM(K9:K23)</f>
        <v>141498.73149999999</v>
      </c>
      <c r="L24" s="40">
        <f>IFERROR(M24/PO!$N$192,"-")</f>
        <v>0.21717489192526829</v>
      </c>
      <c r="M24" s="41">
        <f>SUM(M9:M23)</f>
        <v>241339.02350000001</v>
      </c>
      <c r="N24" s="40">
        <f>IFERROR(O24/PO!$N$192,"-")</f>
        <v>0.22294377653691255</v>
      </c>
      <c r="O24" s="41">
        <f>SUM(O9:O23)</f>
        <v>247749.78750000001</v>
      </c>
      <c r="P24" s="40">
        <f>IFERROR(Q24/PO!$N$192,"-")</f>
        <v>0.14197004871300953</v>
      </c>
      <c r="Q24" s="41">
        <f>SUM(Q9:Q23)</f>
        <v>157766.45550000001</v>
      </c>
      <c r="R24" s="40">
        <f>IFERROR(S24/PO!$N$192,"-")</f>
        <v>2.9115220115166516E-2</v>
      </c>
      <c r="S24" s="41">
        <f>SUM(S9:S23)</f>
        <v>32354.747500000001</v>
      </c>
    </row>
    <row r="25" spans="2:20" ht="15" customHeight="1" x14ac:dyDescent="0.25">
      <c r="B25" s="93" t="s">
        <v>77</v>
      </c>
      <c r="C25" s="93"/>
      <c r="D25" s="43">
        <f>D24</f>
        <v>5.7515067255243552E-2</v>
      </c>
      <c r="E25" s="41">
        <f>E24</f>
        <v>63914.525500000003</v>
      </c>
      <c r="F25" s="40">
        <f>IFERROR(G25/PO!$N$192,"-")</f>
        <v>0.15120059263590926</v>
      </c>
      <c r="G25" s="41">
        <f>E25+G24</f>
        <v>168024.04300000001</v>
      </c>
      <c r="H25" s="40">
        <f>IFERROR(I25/PO!$N$192,"-")</f>
        <v>0.26146492796228221</v>
      </c>
      <c r="I25" s="41">
        <f>G25+I24</f>
        <v>290557.0245</v>
      </c>
      <c r="J25" s="40">
        <f>IFERROR(K25/PO!$N$192,"-")</f>
        <v>0.38879606270964334</v>
      </c>
      <c r="K25" s="41">
        <f>I25+K24</f>
        <v>432055.75599999999</v>
      </c>
      <c r="L25" s="40">
        <f>IFERROR(M25/PO!$N$192,"-")</f>
        <v>0.60597095463491157</v>
      </c>
      <c r="M25" s="41">
        <f>K25+M24</f>
        <v>673394.77949999995</v>
      </c>
      <c r="N25" s="40">
        <f>IFERROR(O25/PO!$N$192,"-")</f>
        <v>0.82891473117182413</v>
      </c>
      <c r="O25" s="41">
        <f>M25+O24</f>
        <v>921144.56699999992</v>
      </c>
      <c r="P25" s="40">
        <f>IFERROR(Q25/PO!$N$192,"-")</f>
        <v>0.97088477988483368</v>
      </c>
      <c r="Q25" s="41">
        <f>O25+Q24</f>
        <v>1078911.0225</v>
      </c>
      <c r="R25" s="44">
        <f>IFERROR(S25/PO!$N$192,"-")</f>
        <v>1.0000000000000002</v>
      </c>
      <c r="S25" s="42">
        <f>Q25+S24</f>
        <v>1111265.77</v>
      </c>
    </row>
    <row r="27" spans="2:20" ht="15.75" x14ac:dyDescent="0.25">
      <c r="B27" s="33" t="s">
        <v>64</v>
      </c>
      <c r="G27" s="35"/>
      <c r="I27" s="35"/>
      <c r="J27" s="76"/>
      <c r="K27" s="76"/>
      <c r="M27" s="35"/>
      <c r="N27" s="76"/>
      <c r="O27" s="76"/>
      <c r="Q27" s="35" t="s">
        <v>66</v>
      </c>
      <c r="R27" s="76">
        <f ca="1">TODAY()</f>
        <v>45236</v>
      </c>
      <c r="S27" s="76"/>
    </row>
    <row r="28" spans="2:20" ht="15.75" x14ac:dyDescent="0.25">
      <c r="B28" s="34" t="s">
        <v>625</v>
      </c>
      <c r="G28"/>
      <c r="I28"/>
      <c r="J28"/>
      <c r="K28"/>
      <c r="M28"/>
      <c r="N28"/>
      <c r="O28"/>
      <c r="Q28"/>
      <c r="R28"/>
      <c r="S28"/>
    </row>
    <row r="29" spans="2:20" ht="15.75" x14ac:dyDescent="0.25">
      <c r="B29" s="34" t="s">
        <v>79</v>
      </c>
    </row>
    <row r="30" spans="2:20" ht="15.75" x14ac:dyDescent="0.25">
      <c r="B30" s="34" t="s">
        <v>94</v>
      </c>
      <c r="C30" s="50">
        <v>0.23810000000000001</v>
      </c>
    </row>
    <row r="31" spans="2:20" ht="15.75" x14ac:dyDescent="0.25">
      <c r="B31" s="34" t="s">
        <v>65</v>
      </c>
    </row>
  </sheetData>
  <mergeCells count="19">
    <mergeCell ref="R27:S27"/>
    <mergeCell ref="B24:C24"/>
    <mergeCell ref="B25:C25"/>
    <mergeCell ref="R7:S7"/>
    <mergeCell ref="B6:S6"/>
    <mergeCell ref="N27:O27"/>
    <mergeCell ref="J27:K27"/>
    <mergeCell ref="B5:S5"/>
    <mergeCell ref="B4:S4"/>
    <mergeCell ref="B3:S3"/>
    <mergeCell ref="B2:S2"/>
    <mergeCell ref="B7:C8"/>
    <mergeCell ref="D7:E7"/>
    <mergeCell ref="P7:Q7"/>
    <mergeCell ref="L7:M7"/>
    <mergeCell ref="N7:O7"/>
    <mergeCell ref="H7:I7"/>
    <mergeCell ref="J7:K7"/>
    <mergeCell ref="F7:G7"/>
  </mergeCells>
  <pageMargins left="0.51181102362204722" right="0.51181102362204722" top="0.78740157480314965" bottom="0.78740157480314965" header="0.31496062992125984" footer="0.31496062992125984"/>
  <pageSetup paperSize="9" scale="65" fitToWidth="2" orientation="landscape" r:id="rId1"/>
  <colBreaks count="1" manualBreakCount="1">
    <brk id="13" max="1048575" man="1"/>
  </colBreaks>
  <ignoredErrors>
    <ignoredError sqref="E24:G24 G25 R24:R25 P24:P25 N24:N25 L24:L25 J24:J25 H24:H25 E9:F9 G9:H9 I9:J9 K9:L9 M9:N9 O9:P9 Q9:R9 Q24:Q25 O24:O25 M24:M25 K24:K25 I24:I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PO</vt:lpstr>
      <vt:lpstr>Quantitativos</vt:lpstr>
      <vt:lpstr>CPU</vt:lpstr>
      <vt:lpstr>Insumos_MAT</vt:lpstr>
      <vt:lpstr>Insumos_MO</vt:lpstr>
      <vt:lpstr>Cotações</vt:lpstr>
      <vt:lpstr>Cronograma</vt:lpstr>
      <vt:lpstr>Cotações!Area_de_impressao</vt:lpstr>
      <vt:lpstr>CPU!Area_de_impressao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Brandao</cp:lastModifiedBy>
  <cp:lastPrinted>2023-08-31T18:45:09Z</cp:lastPrinted>
  <dcterms:created xsi:type="dcterms:W3CDTF">2023-06-14T12:56:34Z</dcterms:created>
  <dcterms:modified xsi:type="dcterms:W3CDTF">2023-11-06T12:35:01Z</dcterms:modified>
</cp:coreProperties>
</file>