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I:\Compras 06 - CRISTIANE\Editais 2023\Tomada de Preços\TP 9 Farroupilha e Gonçalves Dias\"/>
    </mc:Choice>
  </mc:AlternateContent>
  <xr:revisionPtr revIDLastSave="0" documentId="13_ncr:1_{CE21C953-1BAD-4225-9929-4DB57D56625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O" sheetId="6" r:id="rId1"/>
    <sheet name="CPU" sheetId="5" r:id="rId2"/>
    <sheet name="Insumos_MAT" sheetId="2" r:id="rId3"/>
    <sheet name="Insumos_MO" sheetId="4" r:id="rId4"/>
    <sheet name="Cotações" sheetId="1" r:id="rId5"/>
    <sheet name="Cronograma" sheetId="7" r:id="rId6"/>
  </sheets>
  <definedNames>
    <definedName name="_xlnm._FilterDatabase" localSheetId="1" hidden="1">CPU!$B$7:$P$8</definedName>
    <definedName name="_xlnm.Print_Area" localSheetId="4">Cotações!$A$1:$G$26</definedName>
    <definedName name="_xlnm.Print_Area" localSheetId="1">CPU!$A$1:$P$35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1" i="7" l="1"/>
  <c r="M17" i="6" l="1"/>
  <c r="M18" i="6" s="1"/>
  <c r="L17" i="6"/>
  <c r="L18" i="6" s="1"/>
  <c r="J17" i="6"/>
  <c r="N17" i="6" l="1"/>
  <c r="N18" i="6" s="1"/>
  <c r="H10" i="7"/>
  <c r="E11" i="7" l="1"/>
  <c r="G11" i="7"/>
  <c r="M14" i="6" l="1"/>
  <c r="M15" i="6" s="1"/>
  <c r="L14" i="6"/>
  <c r="J14" i="6"/>
  <c r="N14" i="6" l="1"/>
  <c r="N15" i="6" s="1"/>
  <c r="L15" i="6"/>
  <c r="M11" i="6"/>
  <c r="L11" i="6"/>
  <c r="N11" i="6" s="1"/>
  <c r="J11" i="6"/>
  <c r="G10" i="7" l="1"/>
  <c r="E10" i="7"/>
  <c r="H12" i="7"/>
  <c r="H9" i="7"/>
  <c r="J28" i="6"/>
  <c r="L28" i="6"/>
  <c r="M28" i="6"/>
  <c r="J25" i="6"/>
  <c r="L25" i="6"/>
  <c r="M25" i="6"/>
  <c r="J22" i="6"/>
  <c r="L22" i="6"/>
  <c r="M22" i="6"/>
  <c r="M28" i="5"/>
  <c r="O28" i="5" s="1"/>
  <c r="L28" i="5"/>
  <c r="J28" i="5"/>
  <c r="G28" i="5"/>
  <c r="I28" i="5" s="1"/>
  <c r="F28" i="5"/>
  <c r="D28" i="5"/>
  <c r="M27" i="5"/>
  <c r="O27" i="5" s="1"/>
  <c r="L27" i="5"/>
  <c r="J27" i="5"/>
  <c r="G27" i="5"/>
  <c r="I27" i="5" s="1"/>
  <c r="F27" i="5"/>
  <c r="D27" i="5"/>
  <c r="M26" i="5"/>
  <c r="O26" i="5" s="1"/>
  <c r="L26" i="5"/>
  <c r="J26" i="5"/>
  <c r="G26" i="5"/>
  <c r="I26" i="5" s="1"/>
  <c r="F26" i="5"/>
  <c r="D26" i="5"/>
  <c r="M25" i="5"/>
  <c r="O25" i="5" s="1"/>
  <c r="L25" i="5"/>
  <c r="J25" i="5"/>
  <c r="G25" i="5"/>
  <c r="I25" i="5" s="1"/>
  <c r="F25" i="5"/>
  <c r="D25" i="5"/>
  <c r="M24" i="5"/>
  <c r="O24" i="5" s="1"/>
  <c r="L24" i="5"/>
  <c r="J24" i="5"/>
  <c r="G24" i="5"/>
  <c r="I24" i="5" s="1"/>
  <c r="F24" i="5"/>
  <c r="D24" i="5"/>
  <c r="Q23" i="5"/>
  <c r="D24" i="6" s="1"/>
  <c r="N22" i="6" l="1"/>
  <c r="N25" i="6"/>
  <c r="N28" i="6"/>
  <c r="O23" i="5"/>
  <c r="I24" i="6" s="1"/>
  <c r="M24" i="6" s="1"/>
  <c r="I23" i="5"/>
  <c r="H24" i="6" s="1"/>
  <c r="M26" i="6"/>
  <c r="M27" i="6"/>
  <c r="L26" i="6"/>
  <c r="L27" i="6"/>
  <c r="Q9" i="5"/>
  <c r="D20" i="6" s="1"/>
  <c r="Q16" i="5"/>
  <c r="D23" i="6" s="1"/>
  <c r="J24" i="6" l="1"/>
  <c r="P23" i="5"/>
  <c r="N26" i="6"/>
  <c r="N27" i="6"/>
  <c r="J26" i="6"/>
  <c r="J27" i="6"/>
  <c r="L24" i="6"/>
  <c r="N24" i="6" s="1"/>
  <c r="M21" i="6"/>
  <c r="L21" i="6"/>
  <c r="N21" i="6" l="1"/>
  <c r="J21" i="6"/>
  <c r="F16" i="7"/>
  <c r="H21" i="1"/>
  <c r="G21" i="1"/>
  <c r="H14" i="1"/>
  <c r="G14" i="1"/>
  <c r="H7" i="1"/>
  <c r="G7" i="1"/>
  <c r="O32" i="5"/>
  <c r="M21" i="5"/>
  <c r="O21" i="5" s="1"/>
  <c r="L21" i="5"/>
  <c r="J21" i="5"/>
  <c r="G21" i="5"/>
  <c r="I21" i="5" s="1"/>
  <c r="F21" i="5"/>
  <c r="D21" i="5"/>
  <c r="M20" i="5"/>
  <c r="O20" i="5" s="1"/>
  <c r="L20" i="5"/>
  <c r="J20" i="5"/>
  <c r="G20" i="5"/>
  <c r="I20" i="5" s="1"/>
  <c r="F20" i="5"/>
  <c r="D20" i="5"/>
  <c r="M19" i="5"/>
  <c r="O19" i="5" s="1"/>
  <c r="L19" i="5"/>
  <c r="J19" i="5"/>
  <c r="G19" i="5"/>
  <c r="I19" i="5" s="1"/>
  <c r="F19" i="5"/>
  <c r="D19" i="5"/>
  <c r="M18" i="5"/>
  <c r="O18" i="5" s="1"/>
  <c r="L18" i="5"/>
  <c r="J18" i="5"/>
  <c r="G18" i="5"/>
  <c r="I18" i="5" s="1"/>
  <c r="F18" i="5"/>
  <c r="D18" i="5"/>
  <c r="M17" i="5"/>
  <c r="O17" i="5" s="1"/>
  <c r="L17" i="5"/>
  <c r="J17" i="5"/>
  <c r="G17" i="5"/>
  <c r="I17" i="5" s="1"/>
  <c r="F17" i="5"/>
  <c r="D17" i="5"/>
  <c r="M14" i="5"/>
  <c r="O14" i="5" s="1"/>
  <c r="L14" i="5"/>
  <c r="J14" i="5"/>
  <c r="G14" i="5"/>
  <c r="I14" i="5" s="1"/>
  <c r="F14" i="5"/>
  <c r="D14" i="5"/>
  <c r="M13" i="5"/>
  <c r="O13" i="5" s="1"/>
  <c r="L13" i="5"/>
  <c r="J13" i="5"/>
  <c r="G13" i="5"/>
  <c r="I13" i="5" s="1"/>
  <c r="F13" i="5"/>
  <c r="D13" i="5"/>
  <c r="M12" i="5"/>
  <c r="O12" i="5" s="1"/>
  <c r="L12" i="5"/>
  <c r="J12" i="5"/>
  <c r="G12" i="5"/>
  <c r="I12" i="5" s="1"/>
  <c r="F12" i="5"/>
  <c r="D12" i="5"/>
  <c r="M11" i="5"/>
  <c r="O11" i="5" s="1"/>
  <c r="L11" i="5"/>
  <c r="J11" i="5"/>
  <c r="G11" i="5"/>
  <c r="I11" i="5" s="1"/>
  <c r="F11" i="5"/>
  <c r="D11" i="5"/>
  <c r="M10" i="5"/>
  <c r="O10" i="5" s="1"/>
  <c r="L10" i="5"/>
  <c r="J10" i="5"/>
  <c r="G10" i="5"/>
  <c r="I10" i="5" s="1"/>
  <c r="F10" i="5"/>
  <c r="D10" i="5"/>
  <c r="M33" i="6"/>
  <c r="L10" i="6"/>
  <c r="L12" i="6" s="1"/>
  <c r="I10" i="6"/>
  <c r="M10" i="6" s="1"/>
  <c r="M12" i="6" s="1"/>
  <c r="I16" i="5" l="1"/>
  <c r="H23" i="6" s="1"/>
  <c r="I9" i="5"/>
  <c r="L20" i="6" s="1"/>
  <c r="O9" i="5"/>
  <c r="I20" i="6" s="1"/>
  <c r="M20" i="6" s="1"/>
  <c r="O16" i="5"/>
  <c r="I23" i="6" s="1"/>
  <c r="M23" i="6" s="1"/>
  <c r="N10" i="6"/>
  <c r="N12" i="6" s="1"/>
  <c r="J10" i="6"/>
  <c r="M29" i="6" l="1"/>
  <c r="M30" i="6" s="1"/>
  <c r="L23" i="6"/>
  <c r="N23" i="6" s="1"/>
  <c r="J23" i="6"/>
  <c r="J20" i="6"/>
  <c r="P16" i="5"/>
  <c r="P9" i="5"/>
  <c r="G9" i="7"/>
  <c r="E9" i="7"/>
  <c r="N20" i="6"/>
  <c r="N29" i="6" l="1"/>
  <c r="N30" i="6" s="1"/>
  <c r="L29" i="6"/>
  <c r="L30" i="6" s="1"/>
  <c r="G12" i="7"/>
  <c r="G13" i="7" s="1"/>
  <c r="F13" i="7" s="1"/>
  <c r="E12" i="7"/>
  <c r="E13" i="7" s="1"/>
  <c r="E14" i="7" l="1"/>
  <c r="G14" i="7" s="1"/>
  <c r="D13" i="7"/>
  <c r="D14" i="7" s="1"/>
  <c r="F14" i="7" l="1"/>
</calcChain>
</file>

<file path=xl/sharedStrings.xml><?xml version="1.0" encoding="utf-8"?>
<sst xmlns="http://schemas.openxmlformats.org/spreadsheetml/2006/main" count="229" uniqueCount="114">
  <si>
    <t>Endereço: RUA GAL. FLORES DA CUNHA, 245 - TRIUNFO</t>
  </si>
  <si>
    <t>CÓDIGO</t>
  </si>
  <si>
    <t>CONTATO</t>
  </si>
  <si>
    <t>UNIDADE</t>
  </si>
  <si>
    <t>DATA BASE</t>
  </si>
  <si>
    <t>VALOR COTADO</t>
  </si>
  <si>
    <t>UND</t>
  </si>
  <si>
    <t>CNPJ</t>
  </si>
  <si>
    <t>NOME DA EMPRESA FORNECEDORA</t>
  </si>
  <si>
    <t>DATA COTAÇÃO</t>
  </si>
  <si>
    <t>PREÇO</t>
  </si>
  <si>
    <t>TELEFONE / LINK</t>
  </si>
  <si>
    <t>DESCRIÇÃO DO SERVIÇO OU FORNECIMENTO</t>
  </si>
  <si>
    <r>
      <t xml:space="preserve">Cliente: </t>
    </r>
    <r>
      <rPr>
        <u/>
        <sz val="12"/>
        <color theme="1"/>
        <rFont val="Calibri"/>
        <family val="2"/>
        <scheme val="minor"/>
      </rPr>
      <t>PREFEITURA MUNICIPAL DE TRIUNFO</t>
    </r>
  </si>
  <si>
    <t>PREÇOS UNITÁRIOS - MATERIAIS</t>
  </si>
  <si>
    <t>ITEM</t>
  </si>
  <si>
    <t>DISCRIMINAÇÃO</t>
  </si>
  <si>
    <t>REFERÊNCIA</t>
  </si>
  <si>
    <t>P. UNIT.</t>
  </si>
  <si>
    <t>PREÇOS UNITÁRIOS - MÃO DE OBRA</t>
  </si>
  <si>
    <t>SERVIÇO</t>
  </si>
  <si>
    <t>UND. / REF.</t>
  </si>
  <si>
    <t>MATERIAL</t>
  </si>
  <si>
    <t>CUSTO</t>
  </si>
  <si>
    <t>COEF.</t>
  </si>
  <si>
    <t>TOTAL MAT</t>
  </si>
  <si>
    <t>REF.</t>
  </si>
  <si>
    <t>MÃO DE OBRA</t>
  </si>
  <si>
    <t xml:space="preserve">CUSTO </t>
  </si>
  <si>
    <t>TOTAL MO</t>
  </si>
  <si>
    <t>TOTAL COMPOSIÇÃO</t>
  </si>
  <si>
    <t>COMPOSIÇÕES DE CUSTO - SEM BDI</t>
  </si>
  <si>
    <t>CP-1</t>
  </si>
  <si>
    <t>CP-2</t>
  </si>
  <si>
    <t>CUSTO MATERIAL</t>
  </si>
  <si>
    <t>CUSTO MÃO DE OBRA</t>
  </si>
  <si>
    <t>PLANILHA DE ORÇAMENTO GLOBAL</t>
  </si>
  <si>
    <t>DESCRIÇÃO</t>
  </si>
  <si>
    <t>QTD</t>
  </si>
  <si>
    <t>TOTAL</t>
  </si>
  <si>
    <t>BDI</t>
  </si>
  <si>
    <t>FONTE REFER.</t>
  </si>
  <si>
    <t>VALOR UNITÁRIO</t>
  </si>
  <si>
    <t>VALOR TOTAL COM BDI</t>
  </si>
  <si>
    <t>PRÓPRIA</t>
  </si>
  <si>
    <t>SINAPI</t>
  </si>
  <si>
    <t>M2</t>
  </si>
  <si>
    <t>SUBTOTAL ITEM 1:</t>
  </si>
  <si>
    <t>ADMINISTRAÇÃO DE OBRA</t>
  </si>
  <si>
    <t>SINAPI - INSUMO</t>
  </si>
  <si>
    <t>M2XMÊS</t>
  </si>
  <si>
    <t>H</t>
  </si>
  <si>
    <t>SINAPI - COMPOSIÇÃO</t>
  </si>
  <si>
    <t>SERVENTE COM ENCARGOS COMPLEMENTARES</t>
  </si>
  <si>
    <t>PINTURAS</t>
  </si>
  <si>
    <t>TOTAL DO ORÇAMENTO:</t>
  </si>
  <si>
    <t>Observações:</t>
  </si>
  <si>
    <t>- Responsável Técnico: Humberto Brandão</t>
  </si>
  <si>
    <t>Triunfo/RS,</t>
  </si>
  <si>
    <t>PINTOR COM ENCARGOS COMPLEMENTARES</t>
  </si>
  <si>
    <t>L</t>
  </si>
  <si>
    <t>CRONOGRAMA</t>
  </si>
  <si>
    <t>30 DIAS</t>
  </si>
  <si>
    <t>VALOR (R$)</t>
  </si>
  <si>
    <t>% EXECUÇÃO</t>
  </si>
  <si>
    <t>TOTAL DA ETAPA</t>
  </si>
  <si>
    <t>TOTAL ACUMULADO</t>
  </si>
  <si>
    <t>- Encargos Sociais: 112,77%</t>
  </si>
  <si>
    <t>SUBTOTAL ITEM 2:</t>
  </si>
  <si>
    <t>2.1</t>
  </si>
  <si>
    <t>1.1</t>
  </si>
  <si>
    <t>FUNDO PREPARADOR ACRÍLICO BASE ÁGUA</t>
  </si>
  <si>
    <t>LIXA EM FOLHA PARA PAREDE OU MADEIRA, NÚMERO 120, COR VERMELHA</t>
  </si>
  <si>
    <t>LIXAMENTO SUPERFÍCIE DE ALVENARIA PARA APLICAÇÃO DE FUNDO OU PINTURA</t>
  </si>
  <si>
    <t>LIXAMENTO DE MADEIRA PARA APLICAÇÃO DE FUNDO OU PINTURA</t>
  </si>
  <si>
    <t>LIXAMENTO MANUAL EM SUPERFÍCIES METÁLICAS EM OBRA</t>
  </si>
  <si>
    <t>PINTURA COM TINTA ACRÍLICA DE FUNDO APLICADA A ROLO OU PINCEL SOBRE SUPERFÍCIES METÁLICAS (EXCETO PERFIL) EXECUTADO EM OBRA (POR DEMÃO)</t>
  </si>
  <si>
    <t>PINTURA LÁTEX ACRÍLICA STANDARD, APLICAÇÃO MANUAL EM PAREDES, DUAS DEMÃOS</t>
  </si>
  <si>
    <t>PINTURA LÁTEX ACRÍLICA STANDARD, APLICAÇÃO MANUAL EM TETO, DUAS DEMÃOS</t>
  </si>
  <si>
    <t>PINTURA COM TINTA ACRÍLICA DE ACABAMENTO APLICADA A ROLO OU PINCEL SOBRE SUPERFÍCIES METÁLICAS (EXCETO PERFIL) EXECUTADO EM OBRA (02 DEMÃOS)</t>
  </si>
  <si>
    <t>CP-3</t>
  </si>
  <si>
    <t>APLICAÇÃO MANUAL DE FUNDO PREPARADOR ACRÍLICO EM TETO</t>
  </si>
  <si>
    <t>APLICAÇÃO MANUAL DE FUNDO PREPARADOR ACRÍLICO EM PAREDES EXTERNAS</t>
  </si>
  <si>
    <t>Análoga composição 88485</t>
  </si>
  <si>
    <t>Análoga composição 88484</t>
  </si>
  <si>
    <t>1.2</t>
  </si>
  <si>
    <t>MONTAGEM E DESMONTAGEM DE ANDAIME MODULAR FACHADEIRO, COM PISO METÁLICO, PARA EDIFICAÇÕES COM MÚLTIPLOS PAVIMENTOS (EXCLUSIVE ANDAIME)</t>
  </si>
  <si>
    <t>- BDI: 22,75%</t>
  </si>
  <si>
    <t>LOCAÇÃO DE ANDAIME METÁLICO TIPO FACHADEIRO, LARGURA DE 1,20 M X ALTURA DE 2,00 M POR PAINEL, INCLUINDO DIAGONAIS EM X, BARRAS DE LIGAÇÃO, SAPATAS E DEMAIS ITENS NECESSÁRIOS (NÃO INCLUI INSTALAÇÃO)</t>
  </si>
  <si>
    <t>SUBTOTAL ITEM 3:</t>
  </si>
  <si>
    <t>FORNECIMENTO E INSTALAÇÃO DE PLACA DE OBRA COM CHAPA GALVANIZADA E ESTRUTURA DE MADEIRA</t>
  </si>
  <si>
    <t>SERVIÇOS INICIAIS</t>
  </si>
  <si>
    <t>3.1</t>
  </si>
  <si>
    <t>Obra: Manutenção - EMEM Gonçalves Dias</t>
  </si>
  <si>
    <t>Cronograma - Data: Julho de 2023</t>
  </si>
  <si>
    <t>- Data Base: SINAPI Não-Desonerado 06/23</t>
  </si>
  <si>
    <t>Demostrativo de Cotações - Data: Julho de 2023</t>
  </si>
  <si>
    <t>Preços Unitários (Mão de Obra) - Data: Julho de 2023</t>
  </si>
  <si>
    <t>Preços Unitários (Materiais) - Data: Julho de 2023</t>
  </si>
  <si>
    <t>Composições de Custo - Data: Julho de 2023</t>
  </si>
  <si>
    <t>Planilha de Orçamento Global - Data: Julho de 2023</t>
  </si>
  <si>
    <t>REVESTIMENTOS</t>
  </si>
  <si>
    <t>SUBTOTAL ITEM 4: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</si>
  <si>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</si>
  <si>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</si>
  <si>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</si>
  <si>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</si>
  <si>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</si>
  <si>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</si>
  <si>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</si>
  <si>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</si>
  <si>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</si>
  <si>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FORRO EM MADEIRA PINUS, PARA AMBIENTES COMERCIAIS, INCLUSIVE ESTRUTURA DE FIXAÇÃO</t>
  </si>
  <si>
    <t>60 DIAS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</si>
</sst>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\ * #,##0.00_-;\-&quot;R$&quot;\ * #,##0.00_-;_-&quot;R$&quot;\ * &quot;-&quot;??_-;_-@_-"/>
    <numFmt numFmtId="164" formatCode="&quot;R$&quot;\ #,##0.00"/>
    <numFmt numFmtId="165" formatCode="0.0000"/>
    <numFmt numFmtId="166" formatCode="_-&quot;R$&quot;\ * #,##0.0000_-;\-&quot;R$&quot;\ * #,##0.0000_-;_-&quot;R$&quot;\ * &quot;-&quot;????_-;_-@_-"/>
    <numFmt numFmtId="167" formatCode="[$-F800]dddd\,\ mmmm\ dd\,\ yyyy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u/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74999237037263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14" fontId="2" fillId="3" borderId="1" xfId="0" applyNumberFormat="1" applyFont="1" applyFill="1" applyBorder="1" applyAlignment="1">
      <alignment horizontal="center" vertical="center"/>
    </xf>
    <xf numFmtId="164" fontId="4" fillId="3" borderId="1" xfId="0" applyNumberFormat="1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44" fontId="2" fillId="0" borderId="1" xfId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 wrapText="1"/>
    </xf>
    <xf numFmtId="0" fontId="5" fillId="0" borderId="0" xfId="0" applyFont="1"/>
    <xf numFmtId="44" fontId="4" fillId="2" borderId="1" xfId="0" applyNumberFormat="1" applyFont="1" applyFill="1" applyBorder="1" applyAlignment="1">
      <alignment horizontal="center" vertical="center"/>
    </xf>
    <xf numFmtId="166" fontId="4" fillId="2" borderId="1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10" fontId="2" fillId="0" borderId="1" xfId="2" applyNumberFormat="1" applyFont="1" applyBorder="1" applyAlignment="1">
      <alignment horizontal="center" vertical="center"/>
    </xf>
    <xf numFmtId="44" fontId="4" fillId="0" borderId="1" xfId="0" applyNumberFormat="1" applyFont="1" applyBorder="1" applyAlignment="1">
      <alignment horizontal="center" vertical="center"/>
    </xf>
    <xf numFmtId="44" fontId="9" fillId="3" borderId="3" xfId="0" applyNumberFormat="1" applyFont="1" applyFill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quotePrefix="1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44" fontId="2" fillId="0" borderId="1" xfId="1" applyFont="1" applyFill="1" applyBorder="1" applyAlignment="1">
      <alignment horizontal="center" vertical="center"/>
    </xf>
    <xf numFmtId="10" fontId="2" fillId="0" borderId="1" xfId="2" applyNumberFormat="1" applyFont="1" applyFill="1" applyBorder="1" applyAlignment="1">
      <alignment horizontal="center" vertical="center"/>
    </xf>
    <xf numFmtId="10" fontId="2" fillId="3" borderId="1" xfId="2" applyNumberFormat="1" applyFont="1" applyFill="1" applyBorder="1" applyAlignment="1">
      <alignment horizontal="center" vertical="center"/>
    </xf>
    <xf numFmtId="44" fontId="2" fillId="3" borderId="1" xfId="0" applyNumberFormat="1" applyFont="1" applyFill="1" applyBorder="1" applyAlignment="1">
      <alignment horizontal="center" vertical="center"/>
    </xf>
    <xf numFmtId="44" fontId="4" fillId="3" borderId="1" xfId="0" applyNumberFormat="1" applyFont="1" applyFill="1" applyBorder="1" applyAlignment="1">
      <alignment horizontal="center" vertical="center"/>
    </xf>
    <xf numFmtId="10" fontId="2" fillId="3" borderId="1" xfId="0" applyNumberFormat="1" applyFont="1" applyFill="1" applyBorder="1" applyAlignment="1">
      <alignment horizontal="center" vertical="center"/>
    </xf>
    <xf numFmtId="10" fontId="4" fillId="3" borderId="1" xfId="2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left" vertical="center"/>
    </xf>
    <xf numFmtId="0" fontId="4" fillId="0" borderId="2" xfId="0" applyFont="1" applyBorder="1" applyAlignment="1">
      <alignment horizontal="right" vertical="center"/>
    </xf>
    <xf numFmtId="0" fontId="4" fillId="0" borderId="3" xfId="0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167" fontId="3" fillId="0" borderId="0" xfId="0" applyNumberFormat="1" applyFont="1" applyAlignment="1">
      <alignment horizontal="left" vertical="center"/>
    </xf>
    <xf numFmtId="0" fontId="9" fillId="3" borderId="2" xfId="0" applyFont="1" applyFill="1" applyBorder="1" applyAlignment="1">
      <alignment horizontal="right" vertical="center"/>
    </xf>
    <xf numFmtId="0" fontId="9" fillId="3" borderId="3" xfId="0" applyFont="1" applyFill="1" applyBorder="1" applyAlignment="1">
      <alignment horizontal="right" vertical="center"/>
    </xf>
    <xf numFmtId="0" fontId="6" fillId="5" borderId="1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textRotation="90"/>
    </xf>
    <xf numFmtId="0" fontId="6" fillId="5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/>
    </xf>
    <xf numFmtId="0" fontId="10" fillId="3" borderId="1" xfId="0" applyFont="1" applyFill="1" applyBorder="1" applyAlignment="1">
      <alignment horizontal="left" vertical="center" indent="10"/>
    </xf>
    <xf numFmtId="0" fontId="6" fillId="5" borderId="2" xfId="0" applyFont="1" applyFill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/>
    </xf>
    <xf numFmtId="0" fontId="8" fillId="4" borderId="11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/>
    </xf>
    <xf numFmtId="0" fontId="6" fillId="5" borderId="6" xfId="0" applyFont="1" applyFill="1" applyBorder="1" applyAlignment="1">
      <alignment horizontal="center" vertical="center"/>
    </xf>
    <xf numFmtId="0" fontId="6" fillId="5" borderId="8" xfId="0" applyFont="1" applyFill="1" applyBorder="1" applyAlignment="1">
      <alignment horizontal="center" vertical="center"/>
    </xf>
    <xf numFmtId="0" fontId="6" fillId="5" borderId="11" xfId="0" applyFont="1" applyFill="1" applyBorder="1" applyAlignment="1">
      <alignment horizontal="center" vertical="center"/>
    </xf>
    <xf numFmtId="0" fontId="6" fillId="5" borderId="12" xfId="0" applyFont="1" applyFill="1" applyBorder="1" applyAlignment="1">
      <alignment horizontal="center" vertical="center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33618</xdr:colOff>
      <xdr:row>1</xdr:row>
      <xdr:rowOff>33618</xdr:rowOff>
    </xdr:from>
    <xdr:to>
      <xdr:col>2</xdr:col>
      <xdr:colOff>324970</xdr:colOff>
      <xdr:row>4</xdr:row>
      <xdr:rowOff>258487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F801B6F4-5744-4288-88D6-35E8F68388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38736" y="190500"/>
          <a:ext cx="896470" cy="103169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33618</xdr:colOff>
      <xdr:row>1</xdr:row>
      <xdr:rowOff>33617</xdr:rowOff>
    </xdr:from>
    <xdr:to>
      <xdr:col>2</xdr:col>
      <xdr:colOff>212912</xdr:colOff>
      <xdr:row>4</xdr:row>
      <xdr:rowOff>258486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2D3CF1CA-99F2-4A8F-B796-EC16093C7B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4118" y="190499"/>
          <a:ext cx="896470" cy="103169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33618</xdr:colOff>
      <xdr:row>1</xdr:row>
      <xdr:rowOff>33618</xdr:rowOff>
    </xdr:from>
    <xdr:to>
      <xdr:col>2</xdr:col>
      <xdr:colOff>123178</xdr:colOff>
      <xdr:row>4</xdr:row>
      <xdr:rowOff>11245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6E36B64C-BFFF-4832-B811-9B87F3A68A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38736" y="190500"/>
          <a:ext cx="694677" cy="7844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33618</xdr:colOff>
      <xdr:row>1</xdr:row>
      <xdr:rowOff>33618</xdr:rowOff>
    </xdr:from>
    <xdr:to>
      <xdr:col>2</xdr:col>
      <xdr:colOff>123178</xdr:colOff>
      <xdr:row>4</xdr:row>
      <xdr:rowOff>11245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ECD0A25C-FE85-4855-938D-9783459C68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43218" y="195543"/>
          <a:ext cx="699160" cy="77772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33618</xdr:colOff>
      <xdr:row>1</xdr:row>
      <xdr:rowOff>33617</xdr:rowOff>
    </xdr:from>
    <xdr:to>
      <xdr:col>1</xdr:col>
      <xdr:colOff>732778</xdr:colOff>
      <xdr:row>4</xdr:row>
      <xdr:rowOff>31414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29738105-C89C-4504-81B8-1B894803D7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38736" y="224117"/>
          <a:ext cx="699160" cy="8046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33618</xdr:colOff>
      <xdr:row>1</xdr:row>
      <xdr:rowOff>33618</xdr:rowOff>
    </xdr:from>
    <xdr:to>
      <xdr:col>2</xdr:col>
      <xdr:colOff>123178</xdr:colOff>
      <xdr:row>4</xdr:row>
      <xdr:rowOff>11245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63748370-6C25-458D-A7E9-C164063A13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43218" y="195543"/>
          <a:ext cx="699160" cy="77772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N36"/>
  <sheetViews>
    <sheetView showGridLines="0" tabSelected="1" view="pageBreakPreview" zoomScale="85" zoomScaleNormal="85" zoomScaleSheetLayoutView="85" workbookViewId="0">
      <selection activeCell="B9" sqref="B9"/>
    </sheetView>
  </sheetViews>
  <sheetFormatPr defaultRowHeight="12.75" x14ac:dyDescent="0.25"/>
  <cols>
    <col min="1" max="1" width="2.85546875" style="2" customWidth="1"/>
    <col min="2" max="2" width="9.140625" style="2"/>
    <col min="3" max="4" width="13.85546875" style="2" customWidth="1"/>
    <col min="5" max="5" width="71.42578125" style="2" customWidth="1"/>
    <col min="6" max="6" width="13.85546875" style="2" customWidth="1"/>
    <col min="7" max="7" width="9.140625" style="2"/>
    <col min="8" max="8" width="18.42578125" style="2" customWidth="1"/>
    <col min="9" max="10" width="18.28515625" style="2" customWidth="1"/>
    <col min="11" max="11" width="9.140625" style="2"/>
    <col min="12" max="14" width="18.28515625" style="2" customWidth="1"/>
    <col min="15" max="16384" width="9.140625" style="2"/>
  </cols>
  <sheetData>
    <row r="2" spans="2:14" ht="21" customHeight="1" x14ac:dyDescent="0.25">
      <c r="B2" s="54" t="s">
        <v>100</v>
      </c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6"/>
    </row>
    <row r="3" spans="2:14" ht="21" customHeight="1" x14ac:dyDescent="0.25">
      <c r="B3" s="57" t="s">
        <v>93</v>
      </c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9"/>
    </row>
    <row r="4" spans="2:14" ht="21" customHeight="1" x14ac:dyDescent="0.25">
      <c r="B4" s="57" t="s">
        <v>13</v>
      </c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9"/>
    </row>
    <row r="5" spans="2:14" ht="21" customHeight="1" x14ac:dyDescent="0.25">
      <c r="B5" s="60" t="s">
        <v>0</v>
      </c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2"/>
    </row>
    <row r="6" spans="2:14" ht="15.75" x14ac:dyDescent="0.25">
      <c r="B6" s="63" t="s">
        <v>36</v>
      </c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</row>
    <row r="7" spans="2:14" ht="15" customHeight="1" x14ac:dyDescent="0.25">
      <c r="B7" s="53" t="s">
        <v>15</v>
      </c>
      <c r="C7" s="53" t="s">
        <v>41</v>
      </c>
      <c r="D7" s="53" t="s">
        <v>1</v>
      </c>
      <c r="E7" s="53" t="s">
        <v>37</v>
      </c>
      <c r="F7" s="53" t="s">
        <v>38</v>
      </c>
      <c r="G7" s="53" t="s">
        <v>6</v>
      </c>
      <c r="H7" s="53" t="s">
        <v>42</v>
      </c>
      <c r="I7" s="53"/>
      <c r="J7" s="53"/>
      <c r="K7" s="53" t="s">
        <v>40</v>
      </c>
      <c r="L7" s="53" t="s">
        <v>43</v>
      </c>
      <c r="M7" s="53"/>
      <c r="N7" s="53"/>
    </row>
    <row r="8" spans="2:14" x14ac:dyDescent="0.25">
      <c r="B8" s="53"/>
      <c r="C8" s="53"/>
      <c r="D8" s="53"/>
      <c r="E8" s="53"/>
      <c r="F8" s="53"/>
      <c r="G8" s="53"/>
      <c r="H8" s="16" t="s">
        <v>22</v>
      </c>
      <c r="I8" s="16" t="s">
        <v>27</v>
      </c>
      <c r="J8" s="16" t="s">
        <v>39</v>
      </c>
      <c r="K8" s="53"/>
      <c r="L8" s="16" t="s">
        <v>22</v>
      </c>
      <c r="M8" s="16" t="s">
        <v>27</v>
      </c>
      <c r="N8" s="16" t="s">
        <v>39</v>
      </c>
    </row>
    <row r="9" spans="2:14" ht="15" customHeight="1" x14ac:dyDescent="0.25">
      <c r="B9" s="28">
        <v>1</v>
      </c>
      <c r="C9" s="45" t="s">
        <v>48</v>
      </c>
      <c r="D9" s="45"/>
      <c r="E9" s="45"/>
      <c r="F9" s="45"/>
      <c r="G9" s="45"/>
      <c r="H9" s="45"/>
      <c r="I9" s="45"/>
      <c r="J9" s="45"/>
      <c r="K9" s="45"/>
      <c r="L9" s="45"/>
      <c r="M9" s="45"/>
      <c r="N9" s="46"/>
    </row>
    <row r="10" spans="2:14" ht="38.25" x14ac:dyDescent="0.25">
      <c r="B10" s="7" t="s">
        <v>70</v>
      </c>
      <c r="C10" s="7" t="s">
        <v>49</v>
      </c>
      <c r="D10" s="7">
        <v>20193</v>
      </c>
      <c r="E10" s="18" t="s">
        <v>88</v>
      </c>
      <c r="F10" s="29">
        <v>500</v>
      </c>
      <c r="G10" s="7" t="s">
        <v>50</v>
      </c>
      <c r="H10" s="21">
        <v>18.75</v>
      </c>
      <c r="I10" s="21">
        <f>IFERROR(IF($C10="PRÓPRIA",VLOOKUP($E10,CPU!$C$9:P4980,13,0),0),0)</f>
        <v>0</v>
      </c>
      <c r="J10" s="21">
        <f>IFERROR(H10+I10,0)</f>
        <v>18.75</v>
      </c>
      <c r="K10" s="30">
        <v>0.22750000000000001</v>
      </c>
      <c r="L10" s="21">
        <f>TRUNC((1+$K10)*$F10*H10,2)</f>
        <v>11507.81</v>
      </c>
      <c r="M10" s="21">
        <f>TRUNC((1+$K10)*$F10*I10,2)</f>
        <v>0</v>
      </c>
      <c r="N10" s="21">
        <f>IFERROR(L10+M10,0)</f>
        <v>11507.81</v>
      </c>
    </row>
    <row r="11" spans="2:14" ht="25.5" x14ac:dyDescent="0.25">
      <c r="B11" s="7" t="s">
        <v>85</v>
      </c>
      <c r="C11" s="7" t="s">
        <v>45</v>
      </c>
      <c r="D11" s="7">
        <v>97063</v>
      </c>
      <c r="E11" s="18" t="s">
        <v>86</v>
      </c>
      <c r="F11" s="29">
        <v>1000</v>
      </c>
      <c r="G11" s="7" t="s">
        <v>46</v>
      </c>
      <c r="H11" s="21">
        <v>2.0699999999999998</v>
      </c>
      <c r="I11" s="21">
        <v>8.93</v>
      </c>
      <c r="J11" s="21">
        <f>IFERROR(H11+I11,0)</f>
        <v>11</v>
      </c>
      <c r="K11" s="30">
        <v>0.22750000000000001</v>
      </c>
      <c r="L11" s="21">
        <f>TRUNC((1+$K11)*$F11*H11,2)</f>
        <v>2540.92</v>
      </c>
      <c r="M11" s="21">
        <f>TRUNC((1+$K11)*$F11*I11,2)</f>
        <v>10961.57</v>
      </c>
      <c r="N11" s="21">
        <f>IFERROR(L11+M11,0)</f>
        <v>13502.49</v>
      </c>
    </row>
    <row r="12" spans="2:14" x14ac:dyDescent="0.25">
      <c r="B12" s="47" t="s">
        <v>47</v>
      </c>
      <c r="C12" s="48"/>
      <c r="D12" s="48"/>
      <c r="E12" s="48"/>
      <c r="F12" s="48"/>
      <c r="G12" s="48"/>
      <c r="H12" s="48"/>
      <c r="I12" s="48"/>
      <c r="J12" s="48"/>
      <c r="K12" s="49"/>
      <c r="L12" s="31">
        <f>SUM(L10:L11)</f>
        <v>14048.73</v>
      </c>
      <c r="M12" s="31">
        <f t="shared" ref="M12:N12" si="0">SUM(M10:M11)</f>
        <v>10961.57</v>
      </c>
      <c r="N12" s="31">
        <f t="shared" si="0"/>
        <v>25010.3</v>
      </c>
    </row>
    <row r="13" spans="2:14" ht="15" customHeight="1" x14ac:dyDescent="0.25">
      <c r="B13" s="28">
        <v>2</v>
      </c>
      <c r="C13" s="45" t="s">
        <v>91</v>
      </c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6"/>
    </row>
    <row r="14" spans="2:14" ht="25.5" x14ac:dyDescent="0.25">
      <c r="B14" s="7" t="s">
        <v>69</v>
      </c>
      <c r="C14" s="7" t="s">
        <v>45</v>
      </c>
      <c r="D14" s="7">
        <v>103689</v>
      </c>
      <c r="E14" s="18" t="s">
        <v>90</v>
      </c>
      <c r="F14" s="29">
        <v>2.88</v>
      </c>
      <c r="G14" s="7" t="s">
        <v>46</v>
      </c>
      <c r="H14" s="21">
        <v>277.14</v>
      </c>
      <c r="I14" s="21">
        <v>29.88</v>
      </c>
      <c r="J14" s="21">
        <f>IFERROR(H14+I14,0)</f>
        <v>307.02</v>
      </c>
      <c r="K14" s="30">
        <v>0.22750000000000001</v>
      </c>
      <c r="L14" s="21">
        <f>TRUNC((1+$K14)*$F14*H14,2)</f>
        <v>979.74</v>
      </c>
      <c r="M14" s="21">
        <f>TRUNC((1+$K14)*$F14*I14,2)</f>
        <v>105.63</v>
      </c>
      <c r="N14" s="21">
        <f>IFERROR(L14+M14,0)</f>
        <v>1085.3699999999999</v>
      </c>
    </row>
    <row r="15" spans="2:14" x14ac:dyDescent="0.25">
      <c r="B15" s="47" t="s">
        <v>68</v>
      </c>
      <c r="C15" s="48"/>
      <c r="D15" s="48"/>
      <c r="E15" s="48"/>
      <c r="F15" s="48"/>
      <c r="G15" s="48"/>
      <c r="H15" s="48"/>
      <c r="I15" s="48"/>
      <c r="J15" s="48"/>
      <c r="K15" s="49"/>
      <c r="L15" s="31">
        <f>SUM(L14)</f>
        <v>979.74</v>
      </c>
      <c r="M15" s="31">
        <f t="shared" ref="M15:N15" si="1">SUM(M14)</f>
        <v>105.63</v>
      </c>
      <c r="N15" s="31">
        <f t="shared" si="1"/>
        <v>1085.3699999999999</v>
      </c>
    </row>
    <row r="16" spans="2:14" ht="15" customHeight="1" x14ac:dyDescent="0.25">
      <c r="B16" s="28">
        <v>3</v>
      </c>
      <c r="C16" s="45" t="s">
        <v>101</v>
      </c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6"/>
    </row>
    <row r="17" spans="2:14" ht="25.5" x14ac:dyDescent="0.25">
      <c r="B17" s="7" t="s">
        <v>92</v>
      </c>
      <c r="C17" s="7" t="s">
        <v>45</v>
      </c>
      <c r="D17" s="7">
        <v>96117</v>
      </c>
      <c r="E17" s="18" t="s">
        <v>112</v>
      </c>
      <c r="F17" s="29">
        <v>2.5</v>
      </c>
      <c r="G17" s="7" t="s">
        <v>46</v>
      </c>
      <c r="H17" s="21">
        <v>98.03</v>
      </c>
      <c r="I17" s="21">
        <v>41.38</v>
      </c>
      <c r="J17" s="21">
        <f>IFERROR(H17+I17,0)</f>
        <v>139.41</v>
      </c>
      <c r="K17" s="30">
        <v>0.22750000000000001</v>
      </c>
      <c r="L17" s="21">
        <f>TRUNC((1+$K17)*$F17*H17,2)</f>
        <v>300.82</v>
      </c>
      <c r="M17" s="21">
        <f>TRUNC((1+$K17)*$F17*I17,2)</f>
        <v>126.98</v>
      </c>
      <c r="N17" s="21">
        <f>IFERROR(L17+M17,0)</f>
        <v>427.8</v>
      </c>
    </row>
    <row r="18" spans="2:14" x14ac:dyDescent="0.25">
      <c r="B18" s="47" t="s">
        <v>89</v>
      </c>
      <c r="C18" s="48"/>
      <c r="D18" s="48"/>
      <c r="E18" s="48"/>
      <c r="F18" s="48"/>
      <c r="G18" s="48"/>
      <c r="H18" s="48"/>
      <c r="I18" s="48"/>
      <c r="J18" s="48"/>
      <c r="K18" s="49"/>
      <c r="L18" s="31">
        <f>SUM(L17)</f>
        <v>300.82</v>
      </c>
      <c r="M18" s="31">
        <f t="shared" ref="M18:N18" si="2">SUM(M17)</f>
        <v>126.98</v>
      </c>
      <c r="N18" s="31">
        <f t="shared" si="2"/>
        <v>427.8</v>
      </c>
    </row>
    <row r="19" spans="2:14" ht="15" customHeight="1" x14ac:dyDescent="0.25">
      <c r="B19" s="28">
        <v>4</v>
      </c>
      <c r="C19" s="45" t="s">
        <v>54</v>
      </c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6"/>
    </row>
    <row r="20" spans="2:14" x14ac:dyDescent="0.25">
      <c r="B20" s="7" t="s">
        <v>103</v>
      </c>
      <c r="C20" s="7" t="s">
        <v>44</v>
      </c>
      <c r="D20" s="7" t="str">
        <f>IFERROR(IF($C20="PRÓPRIA",VLOOKUP($E20,CPU!$C$9:Q5026,15,0),0),0)</f>
        <v>CP-1</v>
      </c>
      <c r="E20" s="18" t="s">
        <v>73</v>
      </c>
      <c r="F20" s="29">
        <v>1917.21</v>
      </c>
      <c r="G20" s="7" t="s">
        <v>46</v>
      </c>
      <c r="H20" s="21">
        <v>0.64</v>
      </c>
      <c r="I20" s="21">
        <f>IFERROR(IF($C20="PRÓPRIA",VLOOKUP($E20,CPU!$C$9:Q5026,13,0),0),0)</f>
        <v>2.56</v>
      </c>
      <c r="J20" s="21">
        <f>IFERROR(H20+I20,0)</f>
        <v>3.2</v>
      </c>
      <c r="K20" s="30">
        <v>0.22750000000000001</v>
      </c>
      <c r="L20" s="21">
        <f t="shared" ref="L20:M20" si="3">TRUNC((1+$K20)*$F20*H20,2)</f>
        <v>1506.16</v>
      </c>
      <c r="M20" s="21">
        <f t="shared" si="3"/>
        <v>6024.64</v>
      </c>
      <c r="N20" s="21">
        <f>IFERROR(L20+M20,0)</f>
        <v>7530.8</v>
      </c>
    </row>
    <row r="21" spans="2:14" x14ac:dyDescent="0.25">
      <c r="B21" s="7" t="s">
        <v>104</v>
      </c>
      <c r="C21" s="7" t="s">
        <v>45</v>
      </c>
      <c r="D21" s="7">
        <v>102193</v>
      </c>
      <c r="E21" s="18" t="s">
        <v>74</v>
      </c>
      <c r="F21" s="29">
        <v>70.42</v>
      </c>
      <c r="G21" s="7" t="s">
        <v>46</v>
      </c>
      <c r="H21" s="21">
        <v>1</v>
      </c>
      <c r="I21" s="21">
        <v>1.1000000000000001</v>
      </c>
      <c r="J21" s="21">
        <f>IFERROR(H21+I21,0)</f>
        <v>2.1</v>
      </c>
      <c r="K21" s="30">
        <v>0.22750000000000001</v>
      </c>
      <c r="L21" s="21">
        <f t="shared" ref="L21" si="4">TRUNC((1+$K21)*$F21*H21,2)</f>
        <v>86.44</v>
      </c>
      <c r="M21" s="21">
        <f t="shared" ref="M21" si="5">TRUNC((1+$K21)*$F21*I21,2)</f>
        <v>95.08</v>
      </c>
      <c r="N21" s="21">
        <f>IFERROR(L21+M21,0)</f>
        <v>181.51999999999998</v>
      </c>
    </row>
    <row r="22" spans="2:14" x14ac:dyDescent="0.25">
      <c r="B22" s="7" t="s">
        <v>105</v>
      </c>
      <c r="C22" s="7" t="s">
        <v>45</v>
      </c>
      <c r="D22" s="7">
        <v>100717</v>
      </c>
      <c r="E22" s="18" t="s">
        <v>75</v>
      </c>
      <c r="F22" s="29">
        <v>299.63</v>
      </c>
      <c r="G22" s="7" t="s">
        <v>46</v>
      </c>
      <c r="H22" s="21">
        <v>3.47</v>
      </c>
      <c r="I22" s="21">
        <v>6.02</v>
      </c>
      <c r="J22" s="21">
        <f>IFERROR(H22+I22,0)</f>
        <v>9.49</v>
      </c>
      <c r="K22" s="30">
        <v>0.22750000000000001</v>
      </c>
      <c r="L22" s="21">
        <f t="shared" ref="L22" si="6">TRUNC((1+$K22)*$F22*H22,2)</f>
        <v>1276.25</v>
      </c>
      <c r="M22" s="21">
        <f t="shared" ref="M22" si="7">TRUNC((1+$K22)*$F22*I22,2)</f>
        <v>2214.13</v>
      </c>
      <c r="N22" s="21">
        <f>IFERROR(L22+M22,0)</f>
        <v>3490.38</v>
      </c>
    </row>
    <row r="23" spans="2:14" x14ac:dyDescent="0.25">
      <c r="B23" s="7" t="s">
        <v>106</v>
      </c>
      <c r="C23" s="7" t="s">
        <v>44</v>
      </c>
      <c r="D23" s="7" t="str">
        <f>IFERROR(IF($C23="PRÓPRIA",VLOOKUP($E23,CPU!$C$9:Q5029,15,0),0),0)</f>
        <v>CP-2</v>
      </c>
      <c r="E23" s="18" t="s">
        <v>82</v>
      </c>
      <c r="F23" s="29">
        <v>1768.21</v>
      </c>
      <c r="G23" s="7" t="s">
        <v>46</v>
      </c>
      <c r="H23" s="21">
        <f>IFERROR(IF($C23="PRÓPRIA",VLOOKUP($E23,CPU!$C$9:Q5029,7,0),0),0)</f>
        <v>2.65</v>
      </c>
      <c r="I23" s="21">
        <f>IFERROR(IF($C23="PRÓPRIA",VLOOKUP($E23,CPU!$C$9:Q5029,13,0),0),0)</f>
        <v>2.27</v>
      </c>
      <c r="J23" s="21">
        <f t="shared" ref="J23:J27" si="8">IFERROR(H23+I23,0)</f>
        <v>4.92</v>
      </c>
      <c r="K23" s="30">
        <v>0.22750000000000001</v>
      </c>
      <c r="L23" s="21">
        <f t="shared" ref="L23:L28" si="9">TRUNC((1+$K23)*$F23*H23,2)</f>
        <v>5751.76</v>
      </c>
      <c r="M23" s="21">
        <f t="shared" ref="M23:M28" si="10">TRUNC((1+$K23)*$F23*I23,2)</f>
        <v>4926.9799999999996</v>
      </c>
      <c r="N23" s="21">
        <f t="shared" ref="N23:N27" si="11">IFERROR(L23+M23,0)</f>
        <v>10678.74</v>
      </c>
    </row>
    <row r="24" spans="2:14" x14ac:dyDescent="0.25">
      <c r="B24" s="7" t="s">
        <v>107</v>
      </c>
      <c r="C24" s="7" t="s">
        <v>44</v>
      </c>
      <c r="D24" s="7" t="str">
        <f>IFERROR(IF($C24="PRÓPRIA",VLOOKUP($E24,CPU!$C$9:Q5030,15,0),0),0)</f>
        <v>CP-3</v>
      </c>
      <c r="E24" s="18" t="s">
        <v>81</v>
      </c>
      <c r="F24" s="29">
        <v>149</v>
      </c>
      <c r="G24" s="7" t="s">
        <v>46</v>
      </c>
      <c r="H24" s="21">
        <f>IFERROR(IF($C24="PRÓPRIA",VLOOKUP($E24,CPU!$C$9:Q5030,7,0),0),0)</f>
        <v>2.65</v>
      </c>
      <c r="I24" s="21">
        <f>IFERROR(IF($C24="PRÓPRIA",VLOOKUP($E24,CPU!$C$9:Q5030,13,0),0),0)</f>
        <v>3.16</v>
      </c>
      <c r="J24" s="21">
        <f t="shared" si="8"/>
        <v>5.8100000000000005</v>
      </c>
      <c r="K24" s="30">
        <v>0.22750000000000001</v>
      </c>
      <c r="L24" s="21">
        <f t="shared" si="9"/>
        <v>484.67</v>
      </c>
      <c r="M24" s="21">
        <f t="shared" si="10"/>
        <v>577.95000000000005</v>
      </c>
      <c r="N24" s="21">
        <f t="shared" si="11"/>
        <v>1062.6200000000001</v>
      </c>
    </row>
    <row r="25" spans="2:14" ht="25.5" x14ac:dyDescent="0.25">
      <c r="B25" s="7" t="s">
        <v>108</v>
      </c>
      <c r="C25" s="7" t="s">
        <v>45</v>
      </c>
      <c r="D25" s="7">
        <v>100734</v>
      </c>
      <c r="E25" s="18" t="s">
        <v>76</v>
      </c>
      <c r="F25" s="29">
        <v>299.63</v>
      </c>
      <c r="G25" s="7" t="s">
        <v>46</v>
      </c>
      <c r="H25" s="21">
        <v>5.56</v>
      </c>
      <c r="I25" s="21">
        <v>9.18</v>
      </c>
      <c r="J25" s="21">
        <f t="shared" si="8"/>
        <v>14.739999999999998</v>
      </c>
      <c r="K25" s="30">
        <v>0.22750000000000001</v>
      </c>
      <c r="L25" s="21">
        <f t="shared" si="9"/>
        <v>2044.94</v>
      </c>
      <c r="M25" s="21">
        <f t="shared" si="10"/>
        <v>3376.36</v>
      </c>
      <c r="N25" s="21">
        <f t="shared" si="11"/>
        <v>5421.3</v>
      </c>
    </row>
    <row r="26" spans="2:14" x14ac:dyDescent="0.25">
      <c r="B26" s="7" t="s">
        <v>109</v>
      </c>
      <c r="C26" s="7" t="s">
        <v>45</v>
      </c>
      <c r="D26" s="7">
        <v>104642</v>
      </c>
      <c r="E26" s="18" t="s">
        <v>77</v>
      </c>
      <c r="F26" s="29">
        <v>1748.1</v>
      </c>
      <c r="G26" s="7" t="s">
        <v>46</v>
      </c>
      <c r="H26" s="21">
        <v>6.42</v>
      </c>
      <c r="I26" s="21">
        <v>4.1500000000000004</v>
      </c>
      <c r="J26" s="21">
        <f t="shared" si="8"/>
        <v>10.57</v>
      </c>
      <c r="K26" s="30">
        <v>0.22750000000000001</v>
      </c>
      <c r="L26" s="21">
        <f t="shared" si="9"/>
        <v>13775.98</v>
      </c>
      <c r="M26" s="21">
        <f t="shared" si="10"/>
        <v>8905.0300000000007</v>
      </c>
      <c r="N26" s="21">
        <f t="shared" si="11"/>
        <v>22681.010000000002</v>
      </c>
    </row>
    <row r="27" spans="2:14" x14ac:dyDescent="0.25">
      <c r="B27" s="7" t="s">
        <v>110</v>
      </c>
      <c r="C27" s="7" t="s">
        <v>45</v>
      </c>
      <c r="D27" s="7">
        <v>104640</v>
      </c>
      <c r="E27" s="18" t="s">
        <v>78</v>
      </c>
      <c r="F27" s="29">
        <v>219.42</v>
      </c>
      <c r="G27" s="7" t="s">
        <v>46</v>
      </c>
      <c r="H27" s="21">
        <v>6.97</v>
      </c>
      <c r="I27" s="21">
        <v>5.79</v>
      </c>
      <c r="J27" s="21">
        <f t="shared" si="8"/>
        <v>12.76</v>
      </c>
      <c r="K27" s="30">
        <v>0.22750000000000001</v>
      </c>
      <c r="L27" s="21">
        <f t="shared" si="9"/>
        <v>1877.28</v>
      </c>
      <c r="M27" s="21">
        <f t="shared" si="10"/>
        <v>1559.46</v>
      </c>
      <c r="N27" s="21">
        <f t="shared" si="11"/>
        <v>3436.74</v>
      </c>
    </row>
    <row r="28" spans="2:14" ht="25.5" x14ac:dyDescent="0.25">
      <c r="B28" s="7" t="s">
        <v>111</v>
      </c>
      <c r="C28" s="7" t="s">
        <v>45</v>
      </c>
      <c r="D28" s="7">
        <v>100754</v>
      </c>
      <c r="E28" s="18" t="s">
        <v>79</v>
      </c>
      <c r="F28" s="29">
        <v>299.63</v>
      </c>
      <c r="G28" s="7" t="s">
        <v>46</v>
      </c>
      <c r="H28" s="21">
        <v>9.43</v>
      </c>
      <c r="I28" s="21">
        <v>18.36</v>
      </c>
      <c r="J28" s="21">
        <f>IFERROR(H28+I28,0)</f>
        <v>27.79</v>
      </c>
      <c r="K28" s="30">
        <v>0.22750000000000001</v>
      </c>
      <c r="L28" s="21">
        <f t="shared" si="9"/>
        <v>3468.31</v>
      </c>
      <c r="M28" s="21">
        <f t="shared" si="10"/>
        <v>6752.73</v>
      </c>
      <c r="N28" s="21">
        <f>IFERROR(L28+M28,0)</f>
        <v>10221.039999999999</v>
      </c>
    </row>
    <row r="29" spans="2:14" x14ac:dyDescent="0.25">
      <c r="B29" s="47" t="s">
        <v>102</v>
      </c>
      <c r="C29" s="48"/>
      <c r="D29" s="48"/>
      <c r="E29" s="48"/>
      <c r="F29" s="48"/>
      <c r="G29" s="48"/>
      <c r="H29" s="48"/>
      <c r="I29" s="48"/>
      <c r="J29" s="48"/>
      <c r="K29" s="49"/>
      <c r="L29" s="31">
        <f>SUM(L20:L28)</f>
        <v>30271.79</v>
      </c>
      <c r="M29" s="31">
        <f>SUM(M20:M28)</f>
        <v>34432.36</v>
      </c>
      <c r="N29" s="31">
        <f>SUM(N20:N28)</f>
        <v>64704.15</v>
      </c>
    </row>
    <row r="30" spans="2:14" ht="24.95" customHeight="1" x14ac:dyDescent="0.25">
      <c r="B30" s="51" t="s">
        <v>55</v>
      </c>
      <c r="C30" s="52"/>
      <c r="D30" s="52"/>
      <c r="E30" s="52"/>
      <c r="F30" s="52"/>
      <c r="G30" s="52"/>
      <c r="H30" s="52"/>
      <c r="I30" s="52"/>
      <c r="J30" s="52"/>
      <c r="K30" s="52"/>
      <c r="L30" s="32">
        <f>L12+L15+L18+L29</f>
        <v>45601.08</v>
      </c>
      <c r="M30" s="32">
        <f t="shared" ref="M30:N30" si="12">M12+M15+M18+M29</f>
        <v>45626.54</v>
      </c>
      <c r="N30" s="32">
        <f t="shared" si="12"/>
        <v>91227.62</v>
      </c>
    </row>
    <row r="32" spans="2:14" ht="15.75" x14ac:dyDescent="0.25">
      <c r="B32" s="33" t="s">
        <v>56</v>
      </c>
    </row>
    <row r="33" spans="2:14" ht="15.75" x14ac:dyDescent="0.25">
      <c r="B33" s="34" t="s">
        <v>95</v>
      </c>
      <c r="L33" s="35" t="s">
        <v>58</v>
      </c>
      <c r="M33" s="50">
        <f ca="1">TODAY()</f>
        <v>45217</v>
      </c>
      <c r="N33" s="50"/>
    </row>
    <row r="34" spans="2:14" ht="15.75" x14ac:dyDescent="0.25">
      <c r="B34" s="34" t="s">
        <v>67</v>
      </c>
    </row>
    <row r="35" spans="2:14" ht="15.75" x14ac:dyDescent="0.25">
      <c r="B35" s="34" t="s">
        <v>87</v>
      </c>
    </row>
    <row r="36" spans="2:14" ht="15.75" x14ac:dyDescent="0.25">
      <c r="B36" s="34" t="s">
        <v>57</v>
      </c>
    </row>
  </sheetData>
  <mergeCells count="24">
    <mergeCell ref="B15:K15"/>
    <mergeCell ref="C13:N13"/>
    <mergeCell ref="B2:N2"/>
    <mergeCell ref="B3:N3"/>
    <mergeCell ref="B4:N4"/>
    <mergeCell ref="B5:N5"/>
    <mergeCell ref="B6:N6"/>
    <mergeCell ref="K7:K8"/>
    <mergeCell ref="C9:N9"/>
    <mergeCell ref="B12:K12"/>
    <mergeCell ref="B7:B8"/>
    <mergeCell ref="C7:C8"/>
    <mergeCell ref="D7:D8"/>
    <mergeCell ref="E7:E8"/>
    <mergeCell ref="F7:F8"/>
    <mergeCell ref="G7:G8"/>
    <mergeCell ref="H7:J7"/>
    <mergeCell ref="L7:N7"/>
    <mergeCell ref="C16:N16"/>
    <mergeCell ref="B18:K18"/>
    <mergeCell ref="M33:N33"/>
    <mergeCell ref="B30:K30"/>
    <mergeCell ref="B29:K29"/>
    <mergeCell ref="C19:N19"/>
  </mergeCells>
  <pageMargins left="0.51181102362204722" right="0.51181102362204722" top="0.78740157480314965" bottom="0.78740157480314965" header="0.31496062992125984" footer="0.31496062992125984"/>
  <pageSetup paperSize="9" scale="53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Q35"/>
  <sheetViews>
    <sheetView showGridLines="0" view="pageBreakPreview" zoomScale="85" zoomScaleNormal="85" zoomScaleSheetLayoutView="85" workbookViewId="0">
      <selection activeCell="B9" sqref="B9"/>
    </sheetView>
  </sheetViews>
  <sheetFormatPr defaultRowHeight="12.75" x14ac:dyDescent="0.25"/>
  <cols>
    <col min="1" max="1" width="2.85546875" style="2" customWidth="1"/>
    <col min="2" max="2" width="10.7109375" style="2" customWidth="1"/>
    <col min="3" max="3" width="36.5703125" style="2" customWidth="1"/>
    <col min="4" max="4" width="13.7109375" style="2" customWidth="1"/>
    <col min="5" max="5" width="42.85546875" style="2" customWidth="1"/>
    <col min="6" max="6" width="9" style="2" customWidth="1"/>
    <col min="7" max="7" width="18.28515625" style="2" customWidth="1"/>
    <col min="8" max="8" width="13.7109375" style="2" customWidth="1"/>
    <col min="9" max="9" width="18.42578125" style="2" customWidth="1"/>
    <col min="10" max="10" width="13.7109375" style="2" customWidth="1"/>
    <col min="11" max="11" width="42.85546875" style="2" customWidth="1"/>
    <col min="12" max="12" width="9" style="2" customWidth="1"/>
    <col min="13" max="13" width="18.42578125" style="2" customWidth="1"/>
    <col min="14" max="14" width="13.7109375" style="2" customWidth="1"/>
    <col min="15" max="16" width="18.28515625" style="2" customWidth="1"/>
    <col min="17" max="17" width="9" style="2" customWidth="1"/>
    <col min="18" max="16384" width="9.140625" style="2"/>
  </cols>
  <sheetData>
    <row r="1" spans="2:17" x14ac:dyDescent="0.2">
      <c r="Q1" s="1"/>
    </row>
    <row r="2" spans="2:17" ht="21" customHeight="1" x14ac:dyDescent="0.2">
      <c r="B2" s="58" t="s">
        <v>99</v>
      </c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1"/>
    </row>
    <row r="3" spans="2:17" ht="21" customHeight="1" x14ac:dyDescent="0.2">
      <c r="B3" s="58" t="s">
        <v>93</v>
      </c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1"/>
    </row>
    <row r="4" spans="2:17" ht="21" customHeight="1" x14ac:dyDescent="0.2">
      <c r="B4" s="58" t="s">
        <v>13</v>
      </c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1"/>
    </row>
    <row r="5" spans="2:17" ht="21" customHeight="1" x14ac:dyDescent="0.2">
      <c r="B5" s="58" t="s">
        <v>0</v>
      </c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1"/>
    </row>
    <row r="6" spans="2:17" ht="21" customHeight="1" x14ac:dyDescent="0.2">
      <c r="B6" s="63" t="s">
        <v>31</v>
      </c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  <c r="Q6" s="1"/>
    </row>
    <row r="7" spans="2:17" ht="15" customHeight="1" x14ac:dyDescent="0.2">
      <c r="B7" s="65" t="s">
        <v>20</v>
      </c>
      <c r="C7" s="65"/>
      <c r="D7" s="65"/>
      <c r="E7" s="65" t="s">
        <v>34</v>
      </c>
      <c r="F7" s="65"/>
      <c r="G7" s="65"/>
      <c r="H7" s="65"/>
      <c r="I7" s="65"/>
      <c r="J7" s="65" t="s">
        <v>35</v>
      </c>
      <c r="K7" s="65"/>
      <c r="L7" s="65"/>
      <c r="M7" s="65"/>
      <c r="N7" s="65"/>
      <c r="O7" s="65"/>
      <c r="P7" s="65" t="s">
        <v>30</v>
      </c>
      <c r="Q7" s="1"/>
    </row>
    <row r="8" spans="2:17" x14ac:dyDescent="0.2">
      <c r="B8" s="24" t="s">
        <v>15</v>
      </c>
      <c r="C8" s="24" t="s">
        <v>16</v>
      </c>
      <c r="D8" s="24" t="s">
        <v>21</v>
      </c>
      <c r="E8" s="24" t="s">
        <v>22</v>
      </c>
      <c r="F8" s="24" t="s">
        <v>6</v>
      </c>
      <c r="G8" s="24" t="s">
        <v>23</v>
      </c>
      <c r="H8" s="24" t="s">
        <v>24</v>
      </c>
      <c r="I8" s="24" t="s">
        <v>25</v>
      </c>
      <c r="J8" s="24" t="s">
        <v>26</v>
      </c>
      <c r="K8" s="24" t="s">
        <v>27</v>
      </c>
      <c r="L8" s="24" t="s">
        <v>6</v>
      </c>
      <c r="M8" s="24" t="s">
        <v>28</v>
      </c>
      <c r="N8" s="24" t="s">
        <v>24</v>
      </c>
      <c r="O8" s="24" t="s">
        <v>29</v>
      </c>
      <c r="P8" s="65"/>
      <c r="Q8" s="1"/>
    </row>
    <row r="9" spans="2:17" ht="25.5" x14ac:dyDescent="0.2">
      <c r="B9" s="17">
        <v>1</v>
      </c>
      <c r="C9" s="36" t="s">
        <v>73</v>
      </c>
      <c r="D9" s="17" t="s">
        <v>46</v>
      </c>
      <c r="E9" s="17"/>
      <c r="F9" s="17"/>
      <c r="G9" s="17"/>
      <c r="H9" s="17"/>
      <c r="I9" s="26">
        <f>ROUND(SUM(I10:I15),2)</f>
        <v>0.64</v>
      </c>
      <c r="J9" s="17"/>
      <c r="K9" s="17"/>
      <c r="L9" s="17"/>
      <c r="M9" s="17"/>
      <c r="N9" s="17"/>
      <c r="O9" s="27">
        <f>ROUND(SUM(O10:O15),2)</f>
        <v>2.56</v>
      </c>
      <c r="P9" s="26">
        <f>ROUND(SUM(I9,O9),2)</f>
        <v>3.2</v>
      </c>
      <c r="Q9" s="25" t="str">
        <f>B10</f>
        <v>CP-1</v>
      </c>
    </row>
    <row r="10" spans="2:17" ht="25.5" x14ac:dyDescent="0.2">
      <c r="B10" s="64" t="s">
        <v>32</v>
      </c>
      <c r="C10" s="20"/>
      <c r="D10" s="7">
        <f>IFERROR(VLOOKUP($E10,Insumos_MAT!$C$8:G4986,5,0),"")</f>
        <v>3767</v>
      </c>
      <c r="E10" s="18" t="s">
        <v>72</v>
      </c>
      <c r="F10" s="7" t="str">
        <f>IFERROR(VLOOKUP($E10,Insumos_MAT!$C$8:G4986,2,0),"")</f>
        <v>UND</v>
      </c>
      <c r="G10" s="21">
        <f>IFERROR(VLOOKUP($E10,Insumos_MAT!$C$8:G4986,3,0),0)</f>
        <v>1.6</v>
      </c>
      <c r="H10" s="22">
        <v>0.4</v>
      </c>
      <c r="I10" s="21">
        <f>IFERROR(G10*H10,0)</f>
        <v>0.64000000000000012</v>
      </c>
      <c r="J10" s="7">
        <f>IFERROR(VLOOKUP($K10,Insumos_MO!$C$8:G4992,5,0),"")</f>
        <v>88316</v>
      </c>
      <c r="K10" s="18" t="s">
        <v>53</v>
      </c>
      <c r="L10" s="7" t="str">
        <f>IFERROR(VLOOKUP($K10,Insumos_MO!$C$8:G4992,2,0),"")</f>
        <v>H</v>
      </c>
      <c r="M10" s="21">
        <f>IFERROR(VLOOKUP($K10,Insumos_MO!$C$8:G4992,3,0),"")</f>
        <v>21.3</v>
      </c>
      <c r="N10" s="22">
        <v>0.1203</v>
      </c>
      <c r="O10" s="23">
        <f>IFERROR(M10*N10,0)</f>
        <v>2.5623900000000002</v>
      </c>
      <c r="P10" s="7"/>
      <c r="Q10" s="1"/>
    </row>
    <row r="11" spans="2:17" x14ac:dyDescent="0.25">
      <c r="B11" s="64"/>
      <c r="C11" s="20"/>
      <c r="D11" s="7" t="str">
        <f>IFERROR(VLOOKUP($E11,Insumos_MAT!$C$8:G4987,5,0),"")</f>
        <v/>
      </c>
      <c r="E11" s="18"/>
      <c r="F11" s="7" t="str">
        <f>IFERROR(VLOOKUP($E11,Insumos_MAT!$C$8:G4987,2,0),"")</f>
        <v/>
      </c>
      <c r="G11" s="21">
        <f>IFERROR(VLOOKUP($E11,Insumos_MAT!$C$8:G4987,3,0),0)</f>
        <v>0</v>
      </c>
      <c r="H11" s="22"/>
      <c r="I11" s="21">
        <f>IFERROR(G11*H11,0)</f>
        <v>0</v>
      </c>
      <c r="J11" s="7" t="str">
        <f>IFERROR(VLOOKUP($K11,Insumos_MO!$C$8:G4993,5,0),"")</f>
        <v/>
      </c>
      <c r="K11" s="18"/>
      <c r="L11" s="7" t="str">
        <f>IFERROR(VLOOKUP($K11,Insumos_MO!$C$8:G4993,2,0),"")</f>
        <v/>
      </c>
      <c r="M11" s="21" t="str">
        <f>IFERROR(VLOOKUP($K11,Insumos_MO!$C$8:G4993,3,0),"")</f>
        <v/>
      </c>
      <c r="N11" s="22"/>
      <c r="O11" s="23">
        <f>IFERROR(M11*N11,0)</f>
        <v>0</v>
      </c>
      <c r="P11" s="7"/>
    </row>
    <row r="12" spans="2:17" x14ac:dyDescent="0.25">
      <c r="B12" s="64"/>
      <c r="C12" s="20"/>
      <c r="D12" s="7" t="str">
        <f>IFERROR(VLOOKUP($E12,Insumos_MAT!$C$8:G4988,5,0),"")</f>
        <v/>
      </c>
      <c r="E12" s="18"/>
      <c r="F12" s="7" t="str">
        <f>IFERROR(VLOOKUP($E12,Insumos_MAT!$C$8:G4988,2,0),"")</f>
        <v/>
      </c>
      <c r="G12" s="21">
        <f>IFERROR(VLOOKUP($E12,Insumos_MAT!$C$8:G4988,3,0),0)</f>
        <v>0</v>
      </c>
      <c r="H12" s="22"/>
      <c r="I12" s="21">
        <f>IFERROR(G12*H12,0)</f>
        <v>0</v>
      </c>
      <c r="J12" s="7" t="str">
        <f>IFERROR(VLOOKUP($K12,Insumos_MO!$C$8:G4994,5,0),"")</f>
        <v/>
      </c>
      <c r="K12" s="18"/>
      <c r="L12" s="7" t="str">
        <f>IFERROR(VLOOKUP($K12,Insumos_MO!$C$8:G4994,2,0),"")</f>
        <v/>
      </c>
      <c r="M12" s="21" t="str">
        <f>IFERROR(VLOOKUP($K12,Insumos_MO!$C$8:G4994,3,0),"")</f>
        <v/>
      </c>
      <c r="N12" s="22"/>
      <c r="O12" s="23">
        <f>IFERROR(M12*N12,0)</f>
        <v>0</v>
      </c>
      <c r="P12" s="7"/>
    </row>
    <row r="13" spans="2:17" x14ac:dyDescent="0.25">
      <c r="B13" s="64"/>
      <c r="C13" s="20"/>
      <c r="D13" s="7" t="str">
        <f>IFERROR(VLOOKUP($E13,Insumos_MAT!$C$8:G4989,5,0),"")</f>
        <v/>
      </c>
      <c r="E13" s="18"/>
      <c r="F13" s="7" t="str">
        <f>IFERROR(VLOOKUP($E13,Insumos_MAT!$C$8:G4989,2,0),"")</f>
        <v/>
      </c>
      <c r="G13" s="21">
        <f>IFERROR(VLOOKUP($E13,Insumos_MAT!$C$8:G4989,3,0),0)</f>
        <v>0</v>
      </c>
      <c r="H13" s="22"/>
      <c r="I13" s="21">
        <f>IFERROR(G13*H13,0)</f>
        <v>0</v>
      </c>
      <c r="J13" s="7" t="str">
        <f>IFERROR(VLOOKUP($K13,Insumos_MO!$C$8:G4995,5,0),"")</f>
        <v/>
      </c>
      <c r="K13" s="18"/>
      <c r="L13" s="7" t="str">
        <f>IFERROR(VLOOKUP($K13,Insumos_MO!$C$8:G4995,2,0),"")</f>
        <v/>
      </c>
      <c r="M13" s="21" t="str">
        <f>IFERROR(VLOOKUP($K13,Insumos_MO!$C$8:G4995,3,0),"")</f>
        <v/>
      </c>
      <c r="N13" s="22"/>
      <c r="O13" s="23">
        <f>IFERROR(M13*N13,0)</f>
        <v>0</v>
      </c>
      <c r="P13" s="7"/>
    </row>
    <row r="14" spans="2:17" x14ac:dyDescent="0.25">
      <c r="B14" s="64"/>
      <c r="C14" s="20"/>
      <c r="D14" s="7" t="str">
        <f>IFERROR(VLOOKUP($E14,Insumos_MAT!$C$8:G4990,5,0),"")</f>
        <v/>
      </c>
      <c r="E14" s="18"/>
      <c r="F14" s="7" t="str">
        <f>IFERROR(VLOOKUP($E14,Insumos_MAT!$C$8:G4990,2,0),"")</f>
        <v/>
      </c>
      <c r="G14" s="21">
        <f>IFERROR(VLOOKUP($E14,Insumos_MAT!$C$8:G4990,3,0),0)</f>
        <v>0</v>
      </c>
      <c r="H14" s="22"/>
      <c r="I14" s="21">
        <f>IFERROR(G14*H14,0)</f>
        <v>0</v>
      </c>
      <c r="J14" s="7" t="str">
        <f>IFERROR(VLOOKUP($K14,Insumos_MO!$C$8:G4996,5,0),"")</f>
        <v/>
      </c>
      <c r="K14" s="18"/>
      <c r="L14" s="7" t="str">
        <f>IFERROR(VLOOKUP($K14,Insumos_MO!$C$8:G4996,2,0),"")</f>
        <v/>
      </c>
      <c r="M14" s="21" t="str">
        <f>IFERROR(VLOOKUP($K14,Insumos_MO!$C$8:G4996,3,0),"")</f>
        <v/>
      </c>
      <c r="N14" s="22"/>
      <c r="O14" s="23">
        <f>IFERROR(M14*N14,0)</f>
        <v>0</v>
      </c>
      <c r="P14" s="7"/>
    </row>
    <row r="15" spans="2:17" x14ac:dyDescent="0.25">
      <c r="B15" s="64"/>
      <c r="C15" s="3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5"/>
    </row>
    <row r="16" spans="2:17" ht="25.5" x14ac:dyDescent="0.2">
      <c r="B16" s="17">
        <v>2</v>
      </c>
      <c r="C16" s="36" t="s">
        <v>82</v>
      </c>
      <c r="D16" s="17" t="s">
        <v>46</v>
      </c>
      <c r="E16" s="17"/>
      <c r="F16" s="17"/>
      <c r="G16" s="17"/>
      <c r="H16" s="17"/>
      <c r="I16" s="26">
        <f>ROUND(SUM(I17:I22),2)</f>
        <v>2.65</v>
      </c>
      <c r="J16" s="17"/>
      <c r="K16" s="17"/>
      <c r="L16" s="17"/>
      <c r="M16" s="17"/>
      <c r="N16" s="17"/>
      <c r="O16" s="27">
        <f>ROUND(SUM(O17:O22),2)</f>
        <v>2.27</v>
      </c>
      <c r="P16" s="26">
        <f>ROUND(SUM(I16,O16),2)</f>
        <v>4.92</v>
      </c>
      <c r="Q16" s="25" t="str">
        <f>B17</f>
        <v>CP-2</v>
      </c>
    </row>
    <row r="17" spans="2:17" x14ac:dyDescent="0.2">
      <c r="B17" s="64" t="s">
        <v>33</v>
      </c>
      <c r="C17" s="20" t="s">
        <v>83</v>
      </c>
      <c r="D17" s="7">
        <f>IFERROR(VLOOKUP($E17,Insumos_MAT!$C$8:G5021,5,0),"")</f>
        <v>38122</v>
      </c>
      <c r="E17" s="18" t="s">
        <v>71</v>
      </c>
      <c r="F17" s="7" t="str">
        <f>IFERROR(VLOOKUP($E17,Insumos_MAT!$C$8:G5021,2,0),"")</f>
        <v>L</v>
      </c>
      <c r="G17" s="21">
        <f>IFERROR(VLOOKUP($E17,Insumos_MAT!$C$8:G5021,3,0),0)</f>
        <v>15.91</v>
      </c>
      <c r="H17" s="22">
        <v>0.1666</v>
      </c>
      <c r="I17" s="21">
        <f>IFERROR(G17*H17,0)</f>
        <v>2.6506059999999998</v>
      </c>
      <c r="J17" s="7">
        <f>IFERROR(VLOOKUP($K17,Insumos_MO!$C$8:G5027,5,0),"")</f>
        <v>88310</v>
      </c>
      <c r="K17" s="18" t="s">
        <v>59</v>
      </c>
      <c r="L17" s="7" t="str">
        <f>IFERROR(VLOOKUP($K17,Insumos_MO!$C$8:G5027,2,0),"")</f>
        <v>H</v>
      </c>
      <c r="M17" s="21">
        <f>IFERROR(VLOOKUP($K17,Insumos_MO!$C$8:G5027,3,0),"")</f>
        <v>27.02</v>
      </c>
      <c r="N17" s="22">
        <v>6.6600000000000006E-2</v>
      </c>
      <c r="O17" s="23">
        <f>IFERROR(M17*N17,0)</f>
        <v>1.7995320000000001</v>
      </c>
      <c r="P17" s="7"/>
      <c r="Q17" s="1"/>
    </row>
    <row r="18" spans="2:17" x14ac:dyDescent="0.25">
      <c r="B18" s="64"/>
      <c r="C18" s="20"/>
      <c r="D18" s="7" t="str">
        <f>IFERROR(VLOOKUP($E18,Insumos_MAT!$C$8:G5022,5,0),"")</f>
        <v/>
      </c>
      <c r="E18" s="18"/>
      <c r="F18" s="7" t="str">
        <f>IFERROR(VLOOKUP($E18,Insumos_MAT!$C$8:G5022,2,0),"")</f>
        <v/>
      </c>
      <c r="G18" s="21">
        <f>IFERROR(VLOOKUP($E18,Insumos_MAT!$C$8:G5022,3,0),0)</f>
        <v>0</v>
      </c>
      <c r="H18" s="22"/>
      <c r="I18" s="21">
        <f>IFERROR(G18*H18,0)</f>
        <v>0</v>
      </c>
      <c r="J18" s="7">
        <f>IFERROR(VLOOKUP($K18,Insumos_MO!$C$8:G5028,5,0),"")</f>
        <v>88316</v>
      </c>
      <c r="K18" s="18" t="s">
        <v>53</v>
      </c>
      <c r="L18" s="7" t="str">
        <f>IFERROR(VLOOKUP($K18,Insumos_MO!$C$8:G5028,2,0),"")</f>
        <v>H</v>
      </c>
      <c r="M18" s="21">
        <f>IFERROR(VLOOKUP($K18,Insumos_MO!$C$8:G5028,3,0),"")</f>
        <v>21.3</v>
      </c>
      <c r="N18" s="22">
        <v>2.2200000000000001E-2</v>
      </c>
      <c r="O18" s="23">
        <f>IFERROR(M18*N18,0)</f>
        <v>0.47286000000000006</v>
      </c>
      <c r="P18" s="7"/>
    </row>
    <row r="19" spans="2:17" x14ac:dyDescent="0.25">
      <c r="B19" s="64"/>
      <c r="C19" s="20"/>
      <c r="D19" s="7" t="str">
        <f>IFERROR(VLOOKUP($E19,Insumos_MAT!$C$8:G5023,5,0),"")</f>
        <v/>
      </c>
      <c r="E19" s="18"/>
      <c r="F19" s="7" t="str">
        <f>IFERROR(VLOOKUP($E19,Insumos_MAT!$C$8:G5023,2,0),"")</f>
        <v/>
      </c>
      <c r="G19" s="21">
        <f>IFERROR(VLOOKUP($E19,Insumos_MAT!$C$8:G5023,3,0),0)</f>
        <v>0</v>
      </c>
      <c r="H19" s="22"/>
      <c r="I19" s="21">
        <f>IFERROR(G19*H19,0)</f>
        <v>0</v>
      </c>
      <c r="J19" s="7" t="str">
        <f>IFERROR(VLOOKUP($K19,Insumos_MO!$C$8:G5029,5,0),"")</f>
        <v/>
      </c>
      <c r="K19" s="18"/>
      <c r="L19" s="7" t="str">
        <f>IFERROR(VLOOKUP($K19,Insumos_MO!$C$8:G5029,2,0),"")</f>
        <v/>
      </c>
      <c r="M19" s="21" t="str">
        <f>IFERROR(VLOOKUP($K19,Insumos_MO!$C$8:G5029,3,0),"")</f>
        <v/>
      </c>
      <c r="N19" s="22"/>
      <c r="O19" s="23">
        <f>IFERROR(M19*N19,0)</f>
        <v>0</v>
      </c>
      <c r="P19" s="7"/>
    </row>
    <row r="20" spans="2:17" x14ac:dyDescent="0.25">
      <c r="B20" s="64"/>
      <c r="C20" s="20"/>
      <c r="D20" s="7" t="str">
        <f>IFERROR(VLOOKUP($E20,Insumos_MAT!$C$8:G5024,5,0),"")</f>
        <v/>
      </c>
      <c r="E20" s="18"/>
      <c r="F20" s="7" t="str">
        <f>IFERROR(VLOOKUP($E20,Insumos_MAT!$C$8:G5024,2,0),"")</f>
        <v/>
      </c>
      <c r="G20" s="21">
        <f>IFERROR(VLOOKUP($E20,Insumos_MAT!$C$8:G5024,3,0),0)</f>
        <v>0</v>
      </c>
      <c r="H20" s="22"/>
      <c r="I20" s="21">
        <f>IFERROR(G20*H20,0)</f>
        <v>0</v>
      </c>
      <c r="J20" s="7" t="str">
        <f>IFERROR(VLOOKUP($K20,Insumos_MO!$C$8:G5030,5,0),"")</f>
        <v/>
      </c>
      <c r="K20" s="18"/>
      <c r="L20" s="7" t="str">
        <f>IFERROR(VLOOKUP($K20,Insumos_MO!$C$8:G5030,2,0),"")</f>
        <v/>
      </c>
      <c r="M20" s="21" t="str">
        <f>IFERROR(VLOOKUP($K20,Insumos_MO!$C$8:G5030,3,0),"")</f>
        <v/>
      </c>
      <c r="N20" s="22"/>
      <c r="O20" s="23">
        <f>IFERROR(M20*N20,0)</f>
        <v>0</v>
      </c>
      <c r="P20" s="7"/>
    </row>
    <row r="21" spans="2:17" x14ac:dyDescent="0.25">
      <c r="B21" s="64"/>
      <c r="C21" s="20"/>
      <c r="D21" s="7" t="str">
        <f>IFERROR(VLOOKUP($E21,Insumos_MAT!$C$8:G5025,5,0),"")</f>
        <v/>
      </c>
      <c r="E21" s="18"/>
      <c r="F21" s="7" t="str">
        <f>IFERROR(VLOOKUP($E21,Insumos_MAT!$C$8:G5025,2,0),"")</f>
        <v/>
      </c>
      <c r="G21" s="21">
        <f>IFERROR(VLOOKUP($E21,Insumos_MAT!$C$8:G5025,3,0),0)</f>
        <v>0</v>
      </c>
      <c r="H21" s="22"/>
      <c r="I21" s="21">
        <f>IFERROR(G21*H21,0)</f>
        <v>0</v>
      </c>
      <c r="J21" s="7" t="str">
        <f>IFERROR(VLOOKUP($K21,Insumos_MO!$C$8:G5031,5,0),"")</f>
        <v/>
      </c>
      <c r="K21" s="18"/>
      <c r="L21" s="7" t="str">
        <f>IFERROR(VLOOKUP($K21,Insumos_MO!$C$8:G5031,2,0),"")</f>
        <v/>
      </c>
      <c r="M21" s="21" t="str">
        <f>IFERROR(VLOOKUP($K21,Insumos_MO!$C$8:G5031,3,0),"")</f>
        <v/>
      </c>
      <c r="N21" s="22"/>
      <c r="O21" s="23">
        <f>IFERROR(M21*N21,0)</f>
        <v>0</v>
      </c>
      <c r="P21" s="7"/>
    </row>
    <row r="22" spans="2:17" x14ac:dyDescent="0.25">
      <c r="B22" s="64"/>
      <c r="C22" s="3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5"/>
    </row>
    <row r="23" spans="2:17" ht="25.5" x14ac:dyDescent="0.2">
      <c r="B23" s="17">
        <v>3</v>
      </c>
      <c r="C23" s="36" t="s">
        <v>81</v>
      </c>
      <c r="D23" s="17" t="s">
        <v>46</v>
      </c>
      <c r="E23" s="17"/>
      <c r="F23" s="17"/>
      <c r="G23" s="17"/>
      <c r="H23" s="17"/>
      <c r="I23" s="26">
        <f>ROUND(SUM(I24:I29),2)</f>
        <v>2.65</v>
      </c>
      <c r="J23" s="17"/>
      <c r="K23" s="17"/>
      <c r="L23" s="17"/>
      <c r="M23" s="17"/>
      <c r="N23" s="17"/>
      <c r="O23" s="27">
        <f>ROUND(SUM(O24:O29),2)</f>
        <v>3.16</v>
      </c>
      <c r="P23" s="26">
        <f>ROUND(SUM(I23,O23),2)</f>
        <v>5.81</v>
      </c>
      <c r="Q23" s="25" t="str">
        <f>B24</f>
        <v>CP-3</v>
      </c>
    </row>
    <row r="24" spans="2:17" x14ac:dyDescent="0.2">
      <c r="B24" s="64" t="s">
        <v>80</v>
      </c>
      <c r="C24" s="20" t="s">
        <v>84</v>
      </c>
      <c r="D24" s="7">
        <f>IFERROR(VLOOKUP($E24,Insumos_MAT!$C$8:G5028,5,0),"")</f>
        <v>38122</v>
      </c>
      <c r="E24" s="18" t="s">
        <v>71</v>
      </c>
      <c r="F24" s="7" t="str">
        <f>IFERROR(VLOOKUP($E24,Insumos_MAT!$C$8:G5028,2,0),"")</f>
        <v>L</v>
      </c>
      <c r="G24" s="21">
        <f>IFERROR(VLOOKUP($E24,Insumos_MAT!$C$8:G5028,3,0),0)</f>
        <v>15.91</v>
      </c>
      <c r="H24" s="22">
        <v>0.1666</v>
      </c>
      <c r="I24" s="21">
        <f>IFERROR(G24*H24,0)</f>
        <v>2.6506059999999998</v>
      </c>
      <c r="J24" s="7">
        <f>IFERROR(VLOOKUP($K24,Insumos_MO!$C$8:G5034,5,0),"")</f>
        <v>88310</v>
      </c>
      <c r="K24" s="18" t="s">
        <v>59</v>
      </c>
      <c r="L24" s="7" t="str">
        <f>IFERROR(VLOOKUP($K24,Insumos_MO!$C$8:G5034,2,0),"")</f>
        <v>H</v>
      </c>
      <c r="M24" s="21">
        <f>IFERROR(VLOOKUP($K24,Insumos_MO!$C$8:G5034,3,0),"")</f>
        <v>27.02</v>
      </c>
      <c r="N24" s="22">
        <v>9.2700000000000005E-2</v>
      </c>
      <c r="O24" s="23">
        <f>IFERROR(M24*N24,0)</f>
        <v>2.5047540000000001</v>
      </c>
      <c r="P24" s="7"/>
      <c r="Q24" s="1"/>
    </row>
    <row r="25" spans="2:17" x14ac:dyDescent="0.25">
      <c r="B25" s="64"/>
      <c r="C25" s="20"/>
      <c r="D25" s="7" t="str">
        <f>IFERROR(VLOOKUP($E25,Insumos_MAT!$C$8:G5029,5,0),"")</f>
        <v/>
      </c>
      <c r="E25" s="18"/>
      <c r="F25" s="7" t="str">
        <f>IFERROR(VLOOKUP($E25,Insumos_MAT!$C$8:G5029,2,0),"")</f>
        <v/>
      </c>
      <c r="G25" s="21">
        <f>IFERROR(VLOOKUP($E25,Insumos_MAT!$C$8:G5029,3,0),0)</f>
        <v>0</v>
      </c>
      <c r="H25" s="22"/>
      <c r="I25" s="21">
        <f>IFERROR(G25*H25,0)</f>
        <v>0</v>
      </c>
      <c r="J25" s="7">
        <f>IFERROR(VLOOKUP($K25,Insumos_MO!$C$8:G5035,5,0),"")</f>
        <v>88316</v>
      </c>
      <c r="K25" s="18" t="s">
        <v>53</v>
      </c>
      <c r="L25" s="7" t="str">
        <f>IFERROR(VLOOKUP($K25,Insumos_MO!$C$8:G5035,2,0),"")</f>
        <v>H</v>
      </c>
      <c r="M25" s="21">
        <f>IFERROR(VLOOKUP($K25,Insumos_MO!$C$8:G5035,3,0),"")</f>
        <v>21.3</v>
      </c>
      <c r="N25" s="22">
        <v>3.09E-2</v>
      </c>
      <c r="O25" s="23">
        <f>IFERROR(M25*N25,0)</f>
        <v>0.65817000000000003</v>
      </c>
      <c r="P25" s="7"/>
    </row>
    <row r="26" spans="2:17" x14ac:dyDescent="0.25">
      <c r="B26" s="64"/>
      <c r="C26" s="20"/>
      <c r="D26" s="7" t="str">
        <f>IFERROR(VLOOKUP($E26,Insumos_MAT!$C$8:G5030,5,0),"")</f>
        <v/>
      </c>
      <c r="E26" s="18"/>
      <c r="F26" s="7" t="str">
        <f>IFERROR(VLOOKUP($E26,Insumos_MAT!$C$8:G5030,2,0),"")</f>
        <v/>
      </c>
      <c r="G26" s="21">
        <f>IFERROR(VLOOKUP($E26,Insumos_MAT!$C$8:G5030,3,0),0)</f>
        <v>0</v>
      </c>
      <c r="H26" s="22"/>
      <c r="I26" s="21">
        <f>IFERROR(G26*H26,0)</f>
        <v>0</v>
      </c>
      <c r="J26" s="7" t="str">
        <f>IFERROR(VLOOKUP($K26,Insumos_MO!$C$8:G5036,5,0),"")</f>
        <v/>
      </c>
      <c r="K26" s="18"/>
      <c r="L26" s="7" t="str">
        <f>IFERROR(VLOOKUP($K26,Insumos_MO!$C$8:G5036,2,0),"")</f>
        <v/>
      </c>
      <c r="M26" s="21" t="str">
        <f>IFERROR(VLOOKUP($K26,Insumos_MO!$C$8:G5036,3,0),"")</f>
        <v/>
      </c>
      <c r="N26" s="22"/>
      <c r="O26" s="23">
        <f>IFERROR(M26*N26,0)</f>
        <v>0</v>
      </c>
      <c r="P26" s="7"/>
    </row>
    <row r="27" spans="2:17" x14ac:dyDescent="0.25">
      <c r="B27" s="64"/>
      <c r="C27" s="20"/>
      <c r="D27" s="7" t="str">
        <f>IFERROR(VLOOKUP($E27,Insumos_MAT!$C$8:G5031,5,0),"")</f>
        <v/>
      </c>
      <c r="E27" s="18"/>
      <c r="F27" s="7" t="str">
        <f>IFERROR(VLOOKUP($E27,Insumos_MAT!$C$8:G5031,2,0),"")</f>
        <v/>
      </c>
      <c r="G27" s="21">
        <f>IFERROR(VLOOKUP($E27,Insumos_MAT!$C$8:G5031,3,0),0)</f>
        <v>0</v>
      </c>
      <c r="H27" s="22"/>
      <c r="I27" s="21">
        <f>IFERROR(G27*H27,0)</f>
        <v>0</v>
      </c>
      <c r="J27" s="7" t="str">
        <f>IFERROR(VLOOKUP($K27,Insumos_MO!$C$8:G5037,5,0),"")</f>
        <v/>
      </c>
      <c r="K27" s="18"/>
      <c r="L27" s="7" t="str">
        <f>IFERROR(VLOOKUP($K27,Insumos_MO!$C$8:G5037,2,0),"")</f>
        <v/>
      </c>
      <c r="M27" s="21" t="str">
        <f>IFERROR(VLOOKUP($K27,Insumos_MO!$C$8:G5037,3,0),"")</f>
        <v/>
      </c>
      <c r="N27" s="22"/>
      <c r="O27" s="23">
        <f>IFERROR(M27*N27,0)</f>
        <v>0</v>
      </c>
      <c r="P27" s="7"/>
    </row>
    <row r="28" spans="2:17" x14ac:dyDescent="0.25">
      <c r="B28" s="64"/>
      <c r="C28" s="20"/>
      <c r="D28" s="7" t="str">
        <f>IFERROR(VLOOKUP($E28,Insumos_MAT!$C$8:G5032,5,0),"")</f>
        <v/>
      </c>
      <c r="E28" s="18"/>
      <c r="F28" s="7" t="str">
        <f>IFERROR(VLOOKUP($E28,Insumos_MAT!$C$8:G5032,2,0),"")</f>
        <v/>
      </c>
      <c r="G28" s="21">
        <f>IFERROR(VLOOKUP($E28,Insumos_MAT!$C$8:G5032,3,0),0)</f>
        <v>0</v>
      </c>
      <c r="H28" s="22"/>
      <c r="I28" s="21">
        <f>IFERROR(G28*H28,0)</f>
        <v>0</v>
      </c>
      <c r="J28" s="7" t="str">
        <f>IFERROR(VLOOKUP($K28,Insumos_MO!$C$8:G5038,5,0),"")</f>
        <v/>
      </c>
      <c r="K28" s="18"/>
      <c r="L28" s="7" t="str">
        <f>IFERROR(VLOOKUP($K28,Insumos_MO!$C$8:G5038,2,0),"")</f>
        <v/>
      </c>
      <c r="M28" s="21" t="str">
        <f>IFERROR(VLOOKUP($K28,Insumos_MO!$C$8:G5038,3,0),"")</f>
        <v/>
      </c>
      <c r="N28" s="22"/>
      <c r="O28" s="23">
        <f>IFERROR(M28*N28,0)</f>
        <v>0</v>
      </c>
      <c r="P28" s="7"/>
    </row>
    <row r="29" spans="2:17" x14ac:dyDescent="0.25">
      <c r="B29" s="64"/>
      <c r="C29" s="3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5"/>
    </row>
    <row r="31" spans="2:17" ht="15.75" x14ac:dyDescent="0.25">
      <c r="B31" s="33" t="s">
        <v>56</v>
      </c>
    </row>
    <row r="32" spans="2:17" ht="15.75" x14ac:dyDescent="0.25">
      <c r="B32" s="34" t="s">
        <v>95</v>
      </c>
      <c r="N32" s="35" t="s">
        <v>58</v>
      </c>
      <c r="O32" s="50">
        <f ca="1">TODAY()</f>
        <v>45217</v>
      </c>
      <c r="P32" s="50"/>
    </row>
    <row r="33" spans="2:2" ht="15.75" x14ac:dyDescent="0.25">
      <c r="B33" s="34" t="s">
        <v>67</v>
      </c>
    </row>
    <row r="34" spans="2:2" ht="15.75" x14ac:dyDescent="0.25">
      <c r="B34" s="34" t="s">
        <v>87</v>
      </c>
    </row>
    <row r="35" spans="2:2" ht="15.75" x14ac:dyDescent="0.25">
      <c r="B35" s="34" t="s">
        <v>57</v>
      </c>
    </row>
  </sheetData>
  <mergeCells count="13">
    <mergeCell ref="B2:P2"/>
    <mergeCell ref="B10:B15"/>
    <mergeCell ref="B6:P6"/>
    <mergeCell ref="B7:D7"/>
    <mergeCell ref="E7:I7"/>
    <mergeCell ref="J7:O7"/>
    <mergeCell ref="P7:P8"/>
    <mergeCell ref="B5:P5"/>
    <mergeCell ref="O32:P32"/>
    <mergeCell ref="B17:B22"/>
    <mergeCell ref="B24:B29"/>
    <mergeCell ref="B4:P4"/>
    <mergeCell ref="B3:P3"/>
  </mergeCells>
  <pageMargins left="0.51181102362204722" right="0.51181102362204722" top="0.78740157480314965" bottom="0.78740157480314965" header="0.31496062992125984" footer="0.31496062992125984"/>
  <pageSetup paperSize="9" scale="45" fitToHeight="0" orientation="landscape" r:id="rId1"/>
  <colBreaks count="1" manualBreakCount="1">
    <brk id="9" max="68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G9"/>
  <sheetViews>
    <sheetView showGridLines="0" view="pageBreakPreview" zoomScale="85" zoomScaleNormal="85" zoomScaleSheetLayoutView="85" workbookViewId="0">
      <selection activeCell="E10" sqref="E10"/>
    </sheetView>
  </sheetViews>
  <sheetFormatPr defaultRowHeight="12.75" x14ac:dyDescent="0.25"/>
  <cols>
    <col min="1" max="2" width="9.140625" style="2"/>
    <col min="3" max="3" width="60" style="2" customWidth="1"/>
    <col min="4" max="4" width="9.140625" style="2"/>
    <col min="5" max="6" width="18.42578125" style="2" customWidth="1"/>
    <col min="7" max="7" width="13.85546875" style="2" customWidth="1"/>
    <col min="8" max="16384" width="9.140625" style="2"/>
  </cols>
  <sheetData>
    <row r="2" spans="2:7" ht="21" customHeight="1" x14ac:dyDescent="0.25">
      <c r="B2" s="54" t="s">
        <v>98</v>
      </c>
      <c r="C2" s="55"/>
      <c r="D2" s="55"/>
      <c r="E2" s="55"/>
      <c r="F2" s="55"/>
      <c r="G2" s="56"/>
    </row>
    <row r="3" spans="2:7" ht="21" customHeight="1" x14ac:dyDescent="0.25">
      <c r="B3" s="57" t="s">
        <v>93</v>
      </c>
      <c r="C3" s="58"/>
      <c r="D3" s="58"/>
      <c r="E3" s="58"/>
      <c r="F3" s="58"/>
      <c r="G3" s="59"/>
    </row>
    <row r="4" spans="2:7" ht="21" customHeight="1" x14ac:dyDescent="0.25">
      <c r="B4" s="57" t="s">
        <v>13</v>
      </c>
      <c r="C4" s="58"/>
      <c r="D4" s="58"/>
      <c r="E4" s="58"/>
      <c r="F4" s="58"/>
      <c r="G4" s="59"/>
    </row>
    <row r="5" spans="2:7" ht="21" customHeight="1" x14ac:dyDescent="0.25">
      <c r="B5" s="60" t="s">
        <v>0</v>
      </c>
      <c r="C5" s="61"/>
      <c r="D5" s="61"/>
      <c r="E5" s="61"/>
      <c r="F5" s="61"/>
      <c r="G5" s="62"/>
    </row>
    <row r="6" spans="2:7" ht="15.75" x14ac:dyDescent="0.25">
      <c r="B6" s="63" t="s">
        <v>14</v>
      </c>
      <c r="C6" s="63"/>
      <c r="D6" s="63"/>
      <c r="E6" s="63"/>
      <c r="F6" s="63"/>
      <c r="G6" s="63"/>
    </row>
    <row r="7" spans="2:7" x14ac:dyDescent="0.25">
      <c r="B7" s="16" t="s">
        <v>15</v>
      </c>
      <c r="C7" s="16" t="s">
        <v>16</v>
      </c>
      <c r="D7" s="16" t="s">
        <v>6</v>
      </c>
      <c r="E7" s="16" t="s">
        <v>18</v>
      </c>
      <c r="F7" s="16" t="s">
        <v>17</v>
      </c>
      <c r="G7" s="16" t="s">
        <v>1</v>
      </c>
    </row>
    <row r="8" spans="2:7" x14ac:dyDescent="0.25">
      <c r="B8" s="17">
        <v>1</v>
      </c>
      <c r="C8" s="18" t="s">
        <v>71</v>
      </c>
      <c r="D8" s="17" t="s">
        <v>60</v>
      </c>
      <c r="E8" s="19">
        <v>15.91</v>
      </c>
      <c r="F8" s="17" t="s">
        <v>45</v>
      </c>
      <c r="G8" s="7">
        <v>38122</v>
      </c>
    </row>
    <row r="9" spans="2:7" x14ac:dyDescent="0.25">
      <c r="B9" s="17">
        <v>2</v>
      </c>
      <c r="C9" s="18" t="s">
        <v>72</v>
      </c>
      <c r="D9" s="17" t="s">
        <v>6</v>
      </c>
      <c r="E9" s="19">
        <v>1.6</v>
      </c>
      <c r="F9" s="17" t="s">
        <v>45</v>
      </c>
      <c r="G9" s="7">
        <v>3767</v>
      </c>
    </row>
  </sheetData>
  <sortState xmlns:xlrd2="http://schemas.microsoft.com/office/spreadsheetml/2017/richdata2" ref="C8:G22">
    <sortCondition ref="C8:C22"/>
  </sortState>
  <mergeCells count="5">
    <mergeCell ref="B2:G2"/>
    <mergeCell ref="B3:G3"/>
    <mergeCell ref="B4:G4"/>
    <mergeCell ref="B5:G5"/>
    <mergeCell ref="B6:G6"/>
  </mergeCells>
  <pageMargins left="0.511811024" right="0.511811024" top="0.78740157499999996" bottom="0.78740157499999996" header="0.31496062000000002" footer="0.31496062000000002"/>
  <pageSetup paperSize="9" scale="6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G9"/>
  <sheetViews>
    <sheetView showGridLines="0" view="pageBreakPreview" zoomScale="85" zoomScaleNormal="85" zoomScaleSheetLayoutView="85" workbookViewId="0">
      <selection activeCell="E8" sqref="E8"/>
    </sheetView>
  </sheetViews>
  <sheetFormatPr defaultRowHeight="12.75" x14ac:dyDescent="0.25"/>
  <cols>
    <col min="1" max="2" width="9.140625" style="2"/>
    <col min="3" max="3" width="65.7109375" style="2" customWidth="1"/>
    <col min="4" max="4" width="9.140625" style="2"/>
    <col min="5" max="6" width="18.42578125" style="2" customWidth="1"/>
    <col min="7" max="7" width="13.85546875" style="2" customWidth="1"/>
    <col min="8" max="16384" width="9.140625" style="2"/>
  </cols>
  <sheetData>
    <row r="2" spans="2:7" ht="21" customHeight="1" x14ac:dyDescent="0.25">
      <c r="B2" s="54" t="s">
        <v>97</v>
      </c>
      <c r="C2" s="55"/>
      <c r="D2" s="55"/>
      <c r="E2" s="55"/>
      <c r="F2" s="55"/>
      <c r="G2" s="56"/>
    </row>
    <row r="3" spans="2:7" ht="21" customHeight="1" x14ac:dyDescent="0.25">
      <c r="B3" s="57" t="s">
        <v>93</v>
      </c>
      <c r="C3" s="58"/>
      <c r="D3" s="58"/>
      <c r="E3" s="58"/>
      <c r="F3" s="58"/>
      <c r="G3" s="59"/>
    </row>
    <row r="4" spans="2:7" ht="21" customHeight="1" x14ac:dyDescent="0.25">
      <c r="B4" s="57" t="s">
        <v>13</v>
      </c>
      <c r="C4" s="58"/>
      <c r="D4" s="58"/>
      <c r="E4" s="58"/>
      <c r="F4" s="58"/>
      <c r="G4" s="59"/>
    </row>
    <row r="5" spans="2:7" ht="21" customHeight="1" x14ac:dyDescent="0.25">
      <c r="B5" s="60" t="s">
        <v>0</v>
      </c>
      <c r="C5" s="61"/>
      <c r="D5" s="61"/>
      <c r="E5" s="61"/>
      <c r="F5" s="61"/>
      <c r="G5" s="62"/>
    </row>
    <row r="6" spans="2:7" ht="15.75" x14ac:dyDescent="0.25">
      <c r="B6" s="63" t="s">
        <v>19</v>
      </c>
      <c r="C6" s="63"/>
      <c r="D6" s="63"/>
      <c r="E6" s="63"/>
      <c r="F6" s="63"/>
      <c r="G6" s="63"/>
    </row>
    <row r="7" spans="2:7" x14ac:dyDescent="0.25">
      <c r="B7" s="16" t="s">
        <v>15</v>
      </c>
      <c r="C7" s="16" t="s">
        <v>16</v>
      </c>
      <c r="D7" s="16" t="s">
        <v>6</v>
      </c>
      <c r="E7" s="16" t="s">
        <v>18</v>
      </c>
      <c r="F7" s="16" t="s">
        <v>17</v>
      </c>
      <c r="G7" s="16" t="s">
        <v>1</v>
      </c>
    </row>
    <row r="8" spans="2:7" x14ac:dyDescent="0.25">
      <c r="B8" s="17">
        <v>1</v>
      </c>
      <c r="C8" s="18" t="s">
        <v>59</v>
      </c>
      <c r="D8" s="17" t="s">
        <v>51</v>
      </c>
      <c r="E8" s="19">
        <v>27.02</v>
      </c>
      <c r="F8" s="17" t="s">
        <v>52</v>
      </c>
      <c r="G8" s="7">
        <v>88310</v>
      </c>
    </row>
    <row r="9" spans="2:7" x14ac:dyDescent="0.25">
      <c r="B9" s="17">
        <v>2</v>
      </c>
      <c r="C9" s="18" t="s">
        <v>53</v>
      </c>
      <c r="D9" s="17" t="s">
        <v>51</v>
      </c>
      <c r="E9" s="19">
        <v>21.3</v>
      </c>
      <c r="F9" s="17" t="s">
        <v>52</v>
      </c>
      <c r="G9" s="7">
        <v>88316</v>
      </c>
    </row>
  </sheetData>
  <sortState xmlns:xlrd2="http://schemas.microsoft.com/office/spreadsheetml/2017/richdata2" ref="C8:G14">
    <sortCondition ref="C8:C14"/>
  </sortState>
  <mergeCells count="5">
    <mergeCell ref="B2:G2"/>
    <mergeCell ref="B3:G3"/>
    <mergeCell ref="B4:G4"/>
    <mergeCell ref="B5:G5"/>
    <mergeCell ref="B6:G6"/>
  </mergeCells>
  <pageMargins left="0.511811024" right="0.511811024" top="0.78740157499999996" bottom="0.78740157499999996" header="0.31496062000000002" footer="0.31496062000000002"/>
  <pageSetup paperSize="9" scale="64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H26"/>
  <sheetViews>
    <sheetView showGridLines="0" view="pageBreakPreview" zoomScale="85" zoomScaleNormal="85" zoomScaleSheetLayoutView="85" workbookViewId="0">
      <selection activeCell="B3" sqref="B3:G3"/>
    </sheetView>
  </sheetViews>
  <sheetFormatPr defaultRowHeight="12.75" x14ac:dyDescent="0.25"/>
  <cols>
    <col min="1" max="1" width="2.85546875" style="2" customWidth="1"/>
    <col min="2" max="2" width="18.42578125" style="2" customWidth="1"/>
    <col min="3" max="3" width="60" style="2" customWidth="1"/>
    <col min="4" max="4" width="13.85546875" style="2" customWidth="1"/>
    <col min="5" max="5" width="25.7109375" style="2" customWidth="1"/>
    <col min="6" max="6" width="13.7109375" style="2" customWidth="1"/>
    <col min="7" max="7" width="18.42578125" style="2" customWidth="1"/>
    <col min="8" max="16384" width="9.140625" style="2"/>
  </cols>
  <sheetData>
    <row r="2" spans="2:8" ht="21" customHeight="1" x14ac:dyDescent="0.25">
      <c r="B2" s="54" t="s">
        <v>96</v>
      </c>
      <c r="C2" s="55"/>
      <c r="D2" s="55"/>
      <c r="E2" s="55"/>
      <c r="F2" s="55"/>
      <c r="G2" s="56"/>
    </row>
    <row r="3" spans="2:8" ht="21" customHeight="1" x14ac:dyDescent="0.25">
      <c r="B3" s="57" t="s">
        <v>93</v>
      </c>
      <c r="C3" s="58"/>
      <c r="D3" s="58"/>
      <c r="E3" s="58"/>
      <c r="F3" s="58"/>
      <c r="G3" s="59"/>
    </row>
    <row r="4" spans="2:8" ht="21" customHeight="1" x14ac:dyDescent="0.25">
      <c r="B4" s="57" t="s">
        <v>13</v>
      </c>
      <c r="C4" s="58"/>
      <c r="D4" s="58"/>
      <c r="E4" s="58"/>
      <c r="F4" s="58"/>
      <c r="G4" s="59"/>
    </row>
    <row r="5" spans="2:8" ht="21" customHeight="1" x14ac:dyDescent="0.25">
      <c r="B5" s="60" t="s">
        <v>0</v>
      </c>
      <c r="C5" s="61"/>
      <c r="D5" s="61"/>
      <c r="E5" s="61"/>
      <c r="F5" s="61"/>
      <c r="G5" s="62"/>
    </row>
    <row r="6" spans="2:8" x14ac:dyDescent="0.25">
      <c r="B6" s="14" t="s">
        <v>1</v>
      </c>
      <c r="C6" s="14" t="s">
        <v>12</v>
      </c>
      <c r="D6" s="14"/>
      <c r="E6" s="14" t="s">
        <v>3</v>
      </c>
      <c r="F6" s="14" t="s">
        <v>4</v>
      </c>
      <c r="G6" s="14" t="s">
        <v>5</v>
      </c>
    </row>
    <row r="7" spans="2:8" x14ac:dyDescent="0.25">
      <c r="B7" s="11">
        <v>1</v>
      </c>
      <c r="C7" s="66"/>
      <c r="D7" s="66"/>
      <c r="E7" s="11"/>
      <c r="F7" s="12"/>
      <c r="G7" s="13" t="str">
        <f>IFERROR(IF(COUNT(G9:G11)&lt;3,SMALL(G9:G11,1),MEDIAN(G9:G11)),"")</f>
        <v/>
      </c>
      <c r="H7" s="15">
        <f>B7</f>
        <v>1</v>
      </c>
    </row>
    <row r="8" spans="2:8" x14ac:dyDescent="0.25">
      <c r="B8" s="10" t="s">
        <v>7</v>
      </c>
      <c r="C8" s="10" t="s">
        <v>8</v>
      </c>
      <c r="D8" s="10" t="s">
        <v>2</v>
      </c>
      <c r="E8" s="10" t="s">
        <v>11</v>
      </c>
      <c r="F8" s="10" t="s">
        <v>9</v>
      </c>
      <c r="G8" s="10" t="s">
        <v>10</v>
      </c>
      <c r="H8" s="15"/>
    </row>
    <row r="9" spans="2:8" x14ac:dyDescent="0.25">
      <c r="B9" s="6"/>
      <c r="C9" s="7"/>
      <c r="D9" s="7"/>
      <c r="E9" s="7"/>
      <c r="F9" s="8"/>
      <c r="G9" s="9"/>
      <c r="H9" s="15"/>
    </row>
    <row r="10" spans="2:8" x14ac:dyDescent="0.25">
      <c r="B10" s="6"/>
      <c r="C10" s="7"/>
      <c r="D10" s="7"/>
      <c r="E10" s="7"/>
      <c r="F10" s="8"/>
      <c r="G10" s="9"/>
      <c r="H10" s="15"/>
    </row>
    <row r="11" spans="2:8" x14ac:dyDescent="0.25">
      <c r="B11" s="6"/>
      <c r="C11" s="7"/>
      <c r="D11" s="7"/>
      <c r="E11" s="7"/>
      <c r="F11" s="8"/>
      <c r="G11" s="9"/>
      <c r="H11" s="15"/>
    </row>
    <row r="12" spans="2:8" x14ac:dyDescent="0.25">
      <c r="B12" s="3"/>
      <c r="C12" s="4"/>
      <c r="D12" s="4"/>
      <c r="E12" s="4"/>
      <c r="F12" s="4"/>
      <c r="G12" s="5"/>
      <c r="H12" s="15"/>
    </row>
    <row r="13" spans="2:8" x14ac:dyDescent="0.25">
      <c r="B13" s="14" t="s">
        <v>1</v>
      </c>
      <c r="C13" s="14" t="s">
        <v>12</v>
      </c>
      <c r="D13" s="14"/>
      <c r="E13" s="14" t="s">
        <v>3</v>
      </c>
      <c r="F13" s="14" t="s">
        <v>4</v>
      </c>
      <c r="G13" s="14" t="s">
        <v>5</v>
      </c>
      <c r="H13" s="15"/>
    </row>
    <row r="14" spans="2:8" x14ac:dyDescent="0.25">
      <c r="B14" s="11">
        <v>2</v>
      </c>
      <c r="C14" s="66"/>
      <c r="D14" s="66"/>
      <c r="E14" s="11"/>
      <c r="F14" s="12"/>
      <c r="G14" s="13" t="str">
        <f>IFERROR(IF(COUNT(G16:G18)&lt;3,SMALL(G16:G18,1),MEDIAN(G16:G18)),"")</f>
        <v/>
      </c>
      <c r="H14" s="15">
        <f>B14</f>
        <v>2</v>
      </c>
    </row>
    <row r="15" spans="2:8" x14ac:dyDescent="0.25">
      <c r="B15" s="10" t="s">
        <v>7</v>
      </c>
      <c r="C15" s="10" t="s">
        <v>8</v>
      </c>
      <c r="D15" s="10" t="s">
        <v>2</v>
      </c>
      <c r="E15" s="10" t="s">
        <v>11</v>
      </c>
      <c r="F15" s="10" t="s">
        <v>9</v>
      </c>
      <c r="G15" s="10" t="s">
        <v>10</v>
      </c>
      <c r="H15" s="15"/>
    </row>
    <row r="16" spans="2:8" x14ac:dyDescent="0.25">
      <c r="B16" s="6"/>
      <c r="C16" s="7"/>
      <c r="D16" s="7"/>
      <c r="E16" s="7"/>
      <c r="F16" s="8"/>
      <c r="G16" s="9"/>
      <c r="H16" s="15"/>
    </row>
    <row r="17" spans="2:8" x14ac:dyDescent="0.25">
      <c r="B17" s="6"/>
      <c r="C17" s="7"/>
      <c r="D17" s="7"/>
      <c r="E17" s="7"/>
      <c r="F17" s="8"/>
      <c r="G17" s="9"/>
      <c r="H17" s="15"/>
    </row>
    <row r="18" spans="2:8" x14ac:dyDescent="0.25">
      <c r="B18" s="6"/>
      <c r="C18" s="7"/>
      <c r="D18" s="7"/>
      <c r="E18" s="7"/>
      <c r="F18" s="8"/>
      <c r="G18" s="9"/>
      <c r="H18" s="15"/>
    </row>
    <row r="19" spans="2:8" x14ac:dyDescent="0.25">
      <c r="B19" s="3"/>
      <c r="C19" s="4"/>
      <c r="D19" s="4"/>
      <c r="E19" s="4"/>
      <c r="F19" s="4"/>
      <c r="G19" s="5"/>
      <c r="H19" s="15"/>
    </row>
    <row r="20" spans="2:8" x14ac:dyDescent="0.25">
      <c r="B20" s="14" t="s">
        <v>1</v>
      </c>
      <c r="C20" s="14" t="s">
        <v>12</v>
      </c>
      <c r="D20" s="14"/>
      <c r="E20" s="14" t="s">
        <v>3</v>
      </c>
      <c r="F20" s="14" t="s">
        <v>4</v>
      </c>
      <c r="G20" s="14" t="s">
        <v>5</v>
      </c>
      <c r="H20" s="15"/>
    </row>
    <row r="21" spans="2:8" x14ac:dyDescent="0.25">
      <c r="B21" s="11">
        <v>3</v>
      </c>
      <c r="C21" s="66"/>
      <c r="D21" s="66"/>
      <c r="E21" s="11"/>
      <c r="F21" s="12"/>
      <c r="G21" s="13" t="str">
        <f>IFERROR(IF(COUNT(G23:G25)&lt;3,SMALL(G23:G25,1),MEDIAN(G23:G25)),"")</f>
        <v/>
      </c>
      <c r="H21" s="15">
        <f>B21</f>
        <v>3</v>
      </c>
    </row>
    <row r="22" spans="2:8" x14ac:dyDescent="0.25">
      <c r="B22" s="10" t="s">
        <v>7</v>
      </c>
      <c r="C22" s="10" t="s">
        <v>8</v>
      </c>
      <c r="D22" s="10" t="s">
        <v>2</v>
      </c>
      <c r="E22" s="10" t="s">
        <v>11</v>
      </c>
      <c r="F22" s="10" t="s">
        <v>9</v>
      </c>
      <c r="G22" s="10" t="s">
        <v>10</v>
      </c>
    </row>
    <row r="23" spans="2:8" x14ac:dyDescent="0.25">
      <c r="B23" s="6"/>
      <c r="C23" s="7"/>
      <c r="D23" s="7"/>
      <c r="E23" s="7"/>
      <c r="F23" s="8"/>
      <c r="G23" s="9"/>
    </row>
    <row r="24" spans="2:8" x14ac:dyDescent="0.25">
      <c r="B24" s="6"/>
      <c r="C24" s="7"/>
      <c r="D24" s="7"/>
      <c r="E24" s="7"/>
      <c r="F24" s="8"/>
      <c r="G24" s="9"/>
    </row>
    <row r="25" spans="2:8" x14ac:dyDescent="0.25">
      <c r="B25" s="6"/>
      <c r="C25" s="7"/>
      <c r="D25" s="7"/>
      <c r="E25" s="7"/>
      <c r="F25" s="8"/>
      <c r="G25" s="9"/>
    </row>
    <row r="26" spans="2:8" x14ac:dyDescent="0.25">
      <c r="B26" s="3"/>
      <c r="C26" s="4"/>
      <c r="D26" s="4"/>
      <c r="E26" s="4"/>
      <c r="F26" s="4"/>
      <c r="G26" s="5"/>
    </row>
  </sheetData>
  <mergeCells count="7">
    <mergeCell ref="C21:D21"/>
    <mergeCell ref="B2:G2"/>
    <mergeCell ref="B3:G3"/>
    <mergeCell ref="B4:G4"/>
    <mergeCell ref="B5:G5"/>
    <mergeCell ref="C7:D7"/>
    <mergeCell ref="C14:D14"/>
  </mergeCells>
  <pageMargins left="0.511811024" right="0.511811024" top="0.78740157499999996" bottom="0.78740157499999996" header="0.31496062000000002" footer="0.31496062000000002"/>
  <pageSetup paperSize="9" scale="57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1:H20"/>
  <sheetViews>
    <sheetView showGridLines="0" view="pageBreakPreview" zoomScaleNormal="90" zoomScaleSheetLayoutView="100" workbookViewId="0">
      <selection activeCell="B9" sqref="B9"/>
    </sheetView>
  </sheetViews>
  <sheetFormatPr defaultRowHeight="12.75" x14ac:dyDescent="0.25"/>
  <cols>
    <col min="1" max="1" width="2.85546875" style="2" customWidth="1"/>
    <col min="2" max="2" width="9.140625" style="2"/>
    <col min="3" max="3" width="36.5703125" style="2" customWidth="1"/>
    <col min="4" max="4" width="13.7109375" style="2" customWidth="1"/>
    <col min="5" max="5" width="18.28515625" style="2" customWidth="1"/>
    <col min="6" max="6" width="13.7109375" style="2" customWidth="1"/>
    <col min="7" max="7" width="18.28515625" style="2" customWidth="1"/>
    <col min="8" max="16384" width="9.140625" style="2"/>
  </cols>
  <sheetData>
    <row r="1" spans="2:8" ht="15" customHeight="1" x14ac:dyDescent="0.25"/>
    <row r="2" spans="2:8" ht="21" customHeight="1" x14ac:dyDescent="0.25">
      <c r="B2" s="54" t="s">
        <v>94</v>
      </c>
      <c r="C2" s="55"/>
      <c r="D2" s="55"/>
      <c r="E2" s="55"/>
      <c r="F2" s="55"/>
      <c r="G2" s="56"/>
    </row>
    <row r="3" spans="2:8" ht="21" customHeight="1" x14ac:dyDescent="0.25">
      <c r="B3" s="57" t="s">
        <v>93</v>
      </c>
      <c r="C3" s="58"/>
      <c r="D3" s="58"/>
      <c r="E3" s="58"/>
      <c r="F3" s="58"/>
      <c r="G3" s="59"/>
    </row>
    <row r="4" spans="2:8" ht="21" customHeight="1" x14ac:dyDescent="0.25">
      <c r="B4" s="57" t="s">
        <v>13</v>
      </c>
      <c r="C4" s="58"/>
      <c r="D4" s="58"/>
      <c r="E4" s="58"/>
      <c r="F4" s="58"/>
      <c r="G4" s="59"/>
    </row>
    <row r="5" spans="2:8" ht="21" customHeight="1" x14ac:dyDescent="0.25">
      <c r="B5" s="60" t="s">
        <v>0</v>
      </c>
      <c r="C5" s="61"/>
      <c r="D5" s="61"/>
      <c r="E5" s="61"/>
      <c r="F5" s="61"/>
      <c r="G5" s="62"/>
    </row>
    <row r="6" spans="2:8" ht="15.75" x14ac:dyDescent="0.25">
      <c r="B6" s="70" t="s">
        <v>61</v>
      </c>
      <c r="C6" s="71"/>
      <c r="D6" s="71"/>
      <c r="E6" s="71"/>
      <c r="F6" s="71"/>
      <c r="G6" s="71"/>
    </row>
    <row r="7" spans="2:8" x14ac:dyDescent="0.25">
      <c r="B7" s="72" t="s">
        <v>15</v>
      </c>
      <c r="C7" s="73"/>
      <c r="D7" s="68" t="s">
        <v>62</v>
      </c>
      <c r="E7" s="69"/>
      <c r="F7" s="68" t="s">
        <v>113</v>
      </c>
      <c r="G7" s="69"/>
    </row>
    <row r="8" spans="2:8" x14ac:dyDescent="0.25">
      <c r="B8" s="74"/>
      <c r="C8" s="75"/>
      <c r="D8" s="16" t="s">
        <v>64</v>
      </c>
      <c r="E8" s="16" t="s">
        <v>63</v>
      </c>
      <c r="F8" s="16" t="s">
        <v>64</v>
      </c>
      <c r="G8" s="16" t="s">
        <v>63</v>
      </c>
    </row>
    <row r="9" spans="2:8" x14ac:dyDescent="0.25">
      <c r="B9" s="37">
        <v>1</v>
      </c>
      <c r="C9" s="36" t="s">
        <v>48</v>
      </c>
      <c r="D9" s="39">
        <v>0.5</v>
      </c>
      <c r="E9" s="38">
        <f>D9*PO!$N12</f>
        <v>12505.15</v>
      </c>
      <c r="F9" s="39">
        <v>0.5</v>
      </c>
      <c r="G9" s="38">
        <f>F9*PO!$N12</f>
        <v>12505.15</v>
      </c>
      <c r="H9" s="43">
        <f>D9+F9</f>
        <v>1</v>
      </c>
    </row>
    <row r="10" spans="2:8" x14ac:dyDescent="0.25">
      <c r="B10" s="37">
        <v>2</v>
      </c>
      <c r="C10" s="36" t="s">
        <v>91</v>
      </c>
      <c r="D10" s="39">
        <v>1</v>
      </c>
      <c r="E10" s="38">
        <f>D10*PO!$N15</f>
        <v>1085.3699999999999</v>
      </c>
      <c r="F10" s="39">
        <v>0</v>
      </c>
      <c r="G10" s="38">
        <f>F10*PO!$N15</f>
        <v>0</v>
      </c>
      <c r="H10" s="43">
        <f>D10+F10</f>
        <v>1</v>
      </c>
    </row>
    <row r="11" spans="2:8" x14ac:dyDescent="0.25">
      <c r="B11" s="37">
        <v>3</v>
      </c>
      <c r="C11" s="36" t="s">
        <v>101</v>
      </c>
      <c r="D11" s="39">
        <v>1</v>
      </c>
      <c r="E11" s="38">
        <f>D11*PO!$N18</f>
        <v>427.8</v>
      </c>
      <c r="F11" s="39">
        <v>0</v>
      </c>
      <c r="G11" s="38">
        <f>F11*PO!$N18</f>
        <v>0</v>
      </c>
      <c r="H11" s="43">
        <f>D11+F11</f>
        <v>1</v>
      </c>
    </row>
    <row r="12" spans="2:8" x14ac:dyDescent="0.25">
      <c r="B12" s="37">
        <v>4</v>
      </c>
      <c r="C12" s="36" t="s">
        <v>54</v>
      </c>
      <c r="D12" s="39">
        <v>0.4</v>
      </c>
      <c r="E12" s="38">
        <f>D12*PO!$N29</f>
        <v>25881.660000000003</v>
      </c>
      <c r="F12" s="39">
        <v>0.6</v>
      </c>
      <c r="G12" s="38">
        <f>F12*PO!$N29</f>
        <v>38822.49</v>
      </c>
      <c r="H12" s="43">
        <f>D12+F12</f>
        <v>1</v>
      </c>
    </row>
    <row r="13" spans="2:8" ht="15" customHeight="1" x14ac:dyDescent="0.25">
      <c r="B13" s="67" t="s">
        <v>65</v>
      </c>
      <c r="C13" s="67"/>
      <c r="D13" s="40">
        <f>IFERROR(E13/PO!N30,0)</f>
        <v>0.43736732362413933</v>
      </c>
      <c r="E13" s="41">
        <f>SUM(E9:E12)</f>
        <v>39899.980000000003</v>
      </c>
      <c r="F13" s="40">
        <f>IFERROR(G13/PO!N30,0)</f>
        <v>0.56263267637586079</v>
      </c>
      <c r="G13" s="41">
        <f>SUM(G9:G12)</f>
        <v>51327.64</v>
      </c>
    </row>
    <row r="14" spans="2:8" ht="15" customHeight="1" x14ac:dyDescent="0.25">
      <c r="B14" s="67" t="s">
        <v>66</v>
      </c>
      <c r="C14" s="67"/>
      <c r="D14" s="43">
        <f>D13</f>
        <v>0.43736732362413933</v>
      </c>
      <c r="E14" s="41">
        <f>E13</f>
        <v>39899.980000000003</v>
      </c>
      <c r="F14" s="44">
        <f>IFERROR(G14/PO!N30,0)</f>
        <v>1</v>
      </c>
      <c r="G14" s="42">
        <f>E14+G13</f>
        <v>91227.62</v>
      </c>
    </row>
    <row r="16" spans="2:8" ht="15.75" x14ac:dyDescent="0.25">
      <c r="B16" s="33" t="s">
        <v>56</v>
      </c>
      <c r="F16" s="50">
        <f ca="1">TODAY()</f>
        <v>45217</v>
      </c>
      <c r="G16" s="50"/>
    </row>
    <row r="17" spans="2:7" ht="15.75" x14ac:dyDescent="0.25">
      <c r="B17" s="34" t="s">
        <v>95</v>
      </c>
      <c r="F17"/>
      <c r="G17"/>
    </row>
    <row r="18" spans="2:7" ht="15.75" x14ac:dyDescent="0.25">
      <c r="B18" s="34" t="s">
        <v>67</v>
      </c>
    </row>
    <row r="19" spans="2:7" ht="15.75" x14ac:dyDescent="0.25">
      <c r="B19" s="34" t="s">
        <v>87</v>
      </c>
    </row>
    <row r="20" spans="2:7" ht="15.75" x14ac:dyDescent="0.25">
      <c r="B20" s="34" t="s">
        <v>57</v>
      </c>
    </row>
  </sheetData>
  <mergeCells count="11">
    <mergeCell ref="B5:G5"/>
    <mergeCell ref="B4:G4"/>
    <mergeCell ref="B3:G3"/>
    <mergeCell ref="B2:G2"/>
    <mergeCell ref="B7:C8"/>
    <mergeCell ref="D7:E7"/>
    <mergeCell ref="F16:G16"/>
    <mergeCell ref="B13:C13"/>
    <mergeCell ref="B14:C14"/>
    <mergeCell ref="F7:G7"/>
    <mergeCell ref="B6:G6"/>
  </mergeCells>
  <pageMargins left="0.51181102362204722" right="0.51181102362204722" top="0.78740157480314965" bottom="0.78740157480314965" header="0.31496062992125984" footer="0.31496062992125984"/>
  <pageSetup paperSize="9" orientation="landscape" r:id="rId1"/>
  <ignoredErrors>
    <ignoredError sqref="E13 F14 F13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2</vt:i4>
      </vt:variant>
    </vt:vector>
  </HeadingPairs>
  <TitlesOfParts>
    <vt:vector size="8" baseType="lpstr">
      <vt:lpstr>PO</vt:lpstr>
      <vt:lpstr>CPU</vt:lpstr>
      <vt:lpstr>Insumos_MAT</vt:lpstr>
      <vt:lpstr>Insumos_MO</vt:lpstr>
      <vt:lpstr>Cotações</vt:lpstr>
      <vt:lpstr>Cronograma</vt:lpstr>
      <vt:lpstr>Cotações!Area_de_impressao</vt:lpstr>
      <vt:lpstr>CPU!Area_de_impressao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Humberto</dc:creator>
  <cp:lastModifiedBy>Cristiane Oliveira</cp:lastModifiedBy>
  <cp:lastPrinted>2023-07-24T14:10:49Z</cp:lastPrinted>
  <dcterms:created xsi:type="dcterms:W3CDTF">2023-06-14T12:56:34Z</dcterms:created>
  <dcterms:modified xsi:type="dcterms:W3CDTF">2023-10-18T19:25:31Z</dcterms:modified>
</cp:coreProperties>
</file>